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mc:AlternateContent xmlns:mc="http://schemas.openxmlformats.org/markup-compatibility/2006">
    <mc:Choice Requires="x15">
      <x15ac:absPath xmlns:x15ac="http://schemas.microsoft.com/office/spreadsheetml/2010/11/ac" url="C:\Users\JeremyGoldstein\Desktop\"/>
    </mc:Choice>
  </mc:AlternateContent>
  <xr:revisionPtr revIDLastSave="0" documentId="13_ncr:1_{91D384B4-CF78-4ACA-A12C-F56A81AEB9FE}" xr6:coauthVersionLast="47" xr6:coauthVersionMax="47" xr10:uidLastSave="{00000000-0000-0000-0000-000000000000}"/>
  <bookViews>
    <workbookView xWindow="-108" yWindow="-108" windowWidth="23256" windowHeight="13896" tabRatio="651" xr2:uid="{00000000-000D-0000-FFFF-FFFF00000000}"/>
  </bookViews>
  <sheets>
    <sheet name="User Instructions" sheetId="28" r:id="rId1"/>
    <sheet name="Module 1" sheetId="24" r:id="rId2"/>
    <sheet name="Module 2" sheetId="29" r:id="rId3"/>
    <sheet name="Module 3" sheetId="27" r:id="rId4"/>
    <sheet name="Module 4" sheetId="26" r:id="rId5"/>
    <sheet name="Assumptions &gt;&gt;" sheetId="17" r:id="rId6"/>
    <sheet name="ModelInputs" sheetId="2" r:id="rId7"/>
  </sheets>
  <definedNames>
    <definedName name="Abate_Pct_Base" localSheetId="1">'Module 1'!$G$37</definedName>
    <definedName name="Abate_Pct_Base" localSheetId="2">'Module 2'!$G$44</definedName>
    <definedName name="Abate_Pct_Base" localSheetId="3">'Module 3'!#REF!</definedName>
    <definedName name="Abate_Pct_Base" localSheetId="4">'Module 4'!#REF!</definedName>
    <definedName name="Abate_Pct_RentGap" localSheetId="1">'Module 1'!$D$37</definedName>
    <definedName name="Abate_Pct_RentGap" localSheetId="2">'Module 2'!$D$44</definedName>
    <definedName name="Abate_Pct_RentGap" localSheetId="3">'Module 3'!#REF!</definedName>
    <definedName name="Abate_Pct_RentGap" localSheetId="4">'Module 4'!$D$20</definedName>
    <definedName name="Abatement_Base" localSheetId="1">'Module 1'!$G$35</definedName>
    <definedName name="Abatement_Base" localSheetId="2">'Module 2'!$G$42</definedName>
    <definedName name="Abatement_Base" localSheetId="3">'Module 3'!#REF!</definedName>
    <definedName name="Abatement_Base" localSheetId="4">'Module 4'!#REF!</definedName>
    <definedName name="Abatement_Provides" localSheetId="1">'Module 1'!#REF!</definedName>
    <definedName name="Abatement_Provides" localSheetId="2">'Module 2'!#REF!</definedName>
    <definedName name="Abatement_Provides" localSheetId="3">'Module 3'!#REF!</definedName>
    <definedName name="Abatement_Provides" localSheetId="4">'Module 4'!$L$21</definedName>
    <definedName name="Abatement_RentGap" localSheetId="1">'Module 1'!$D$35</definedName>
    <definedName name="Abatement_RentGap" localSheetId="2">'Module 2'!$D$42</definedName>
    <definedName name="Abatement_RentGap" localSheetId="3">'Module 3'!#REF!</definedName>
    <definedName name="Abatement_RentGap" localSheetId="4">'Module 4'!$D$18</definedName>
    <definedName name="Abatement_Years" localSheetId="1">'Module 1'!$D$39</definedName>
    <definedName name="Abatement_Years" localSheetId="2">'Module 2'!$D$46</definedName>
    <definedName name="Abatement_Years" localSheetId="3">'Module 3'!#REF!</definedName>
    <definedName name="Abatement_Years" localSheetId="4">'Module 4'!#REF!</definedName>
    <definedName name="Adj_Construction" localSheetId="1">'Module 1'!$D$15</definedName>
    <definedName name="Adj_Construction" localSheetId="2">'Module 2'!$D$22</definedName>
    <definedName name="Adj_Construction" localSheetId="3">'Module 3'!#REF!</definedName>
    <definedName name="Adj_Construction" localSheetId="4">'Module 4'!#REF!</definedName>
    <definedName name="Adj_Land" localSheetId="1">'Module 1'!$D$28</definedName>
    <definedName name="Adj_Land" localSheetId="2">'Module 2'!$D$35</definedName>
    <definedName name="Adj_Land" localSheetId="3">'Module 3'!$D$36</definedName>
    <definedName name="Adj_Rent" localSheetId="1">'Module 1'!$D$29</definedName>
    <definedName name="Adj_Rent" localSheetId="2">'Module 2'!$D$36</definedName>
    <definedName name="Adj_Rent" localSheetId="3">'Module 3'!$D$37</definedName>
    <definedName name="Adj_Rent" localSheetId="4">'Module 4'!$D$44</definedName>
    <definedName name="Affordable_Rent_Avg" localSheetId="1">'Module 1'!$D$42</definedName>
    <definedName name="Affordable_Rent_Avg" localSheetId="2">'Module 2'!$D$49</definedName>
    <definedName name="Affordable_Rent_Avg" localSheetId="3">'Module 3'!#REF!</definedName>
    <definedName name="Affordable_Rent_Avg" localSheetId="4">'Module 4'!#REF!</definedName>
    <definedName name="AMI_Band_1_Pct" localSheetId="1">'Module 1'!#REF!</definedName>
    <definedName name="AMI_Band_1_Pct" localSheetId="2">'Module 2'!#REF!</definedName>
    <definedName name="AMI_Band_1_Pct" localSheetId="3">'Module 3'!$D$13</definedName>
    <definedName name="AMI_Band_1_Pct" localSheetId="4">'Module 4'!$D$14</definedName>
    <definedName name="AMI_Band_1_Type" localSheetId="1">'Module 1'!#REF!</definedName>
    <definedName name="AMI_Band_1_Type" localSheetId="2">'Module 2'!#REF!</definedName>
    <definedName name="AMI_Band_1_Type" localSheetId="3">'Module 3'!$D$12</definedName>
    <definedName name="AMI_Band_1_Type" localSheetId="4">'Module 4'!$D$13</definedName>
    <definedName name="Annual_New_Tax_Revenue" localSheetId="1">'Module 1'!#REF!</definedName>
    <definedName name="Annual_New_Tax_Revenue" localSheetId="2">'Module 2'!#REF!</definedName>
    <definedName name="Annual_New_Tax_Revenue" localSheetId="3">'Module 3'!$J$30</definedName>
    <definedName name="Annual_New_Tax_Revenue" localSheetId="4">'Module 4'!$J$25</definedName>
    <definedName name="Annual_Revenue_Waived" localSheetId="1">'Module 1'!#REF!</definedName>
    <definedName name="Annual_Revenue_Waived" localSheetId="2">'Module 2'!#REF!</definedName>
    <definedName name="Annual_Revenue_Waived" localSheetId="3">'Module 3'!#REF!</definedName>
    <definedName name="Annual_Revenue_Waived" localSheetId="4">'Module 4'!$L$25</definedName>
    <definedName name="Avg_Units_per_Building" localSheetId="1">'Module 1'!#REF!</definedName>
    <definedName name="Avg_Units_per_Building" localSheetId="2">'Module 2'!#REF!</definedName>
    <definedName name="Avg_Units_per_Building" localSheetId="3">'Module 3'!$D$13</definedName>
    <definedName name="Avg_Units_per_Building" localSheetId="4">'Module 4'!$D$14</definedName>
    <definedName name="Bonus_Units" localSheetId="1">'Module 1'!#REF!</definedName>
    <definedName name="Bonus_Units" localSheetId="2">'Module 2'!#REF!</definedName>
    <definedName name="Bonus_Units" localSheetId="3">'Module 3'!#REF!</definedName>
    <definedName name="Bonus_Units" localSheetId="4">'Module 4'!#REF!</definedName>
    <definedName name="Building_Type" localSheetId="1">'Module 1'!$D$8</definedName>
    <definedName name="Building_Type" localSheetId="2">'Module 2'!$D$8</definedName>
    <definedName name="Building_Type" localSheetId="3">'Module 3'!$D$8</definedName>
    <definedName name="Building_Type" localSheetId="4">'Module 4'!$D$8</definedName>
    <definedName name="Buildings" localSheetId="1">'Module 1'!#REF!</definedName>
    <definedName name="Buildings" localSheetId="2">'Module 2'!#REF!</definedName>
    <definedName name="Buildings" localSheetId="3">'Module 3'!$D$12</definedName>
    <definedName name="Buildings" localSheetId="4">'Module 4'!$D$13</definedName>
    <definedName name="Cap_Rate" localSheetId="1">'Module 1'!$G$66</definedName>
    <definedName name="Cap_Rate" localSheetId="2">'Module 2'!$G$73</definedName>
    <definedName name="Cap_Rate" localSheetId="3">'Module 3'!$G$54</definedName>
    <definedName name="Cap_Rate" localSheetId="4">'Module 4'!$G$66</definedName>
    <definedName name="Construction_Costs" localSheetId="1">'Module 1'!$D$20</definedName>
    <definedName name="Construction_Costs" localSheetId="2">'Module 2'!$D$27</definedName>
    <definedName name="Construction_Costs" localSheetId="3">'Module 3'!$D$28</definedName>
    <definedName name="Construction_Costs" localSheetId="4">'Module 4'!$D$36</definedName>
    <definedName name="Construction_Timeline" localSheetId="1">'Module 1'!$D$63</definedName>
    <definedName name="Construction_Timeline" localSheetId="2">'Module 2'!$D$70</definedName>
    <definedName name="Construction_Timeline" localSheetId="3">'Module 3'!$D$52</definedName>
    <definedName name="Construction_Timeline" localSheetId="4">'Module 4'!$D$63</definedName>
    <definedName name="Density_Bonus" localSheetId="1">'Module 1'!#REF!</definedName>
    <definedName name="Density_Bonus" localSheetId="2">'Module 2'!#REF!</definedName>
    <definedName name="Density_Bonus" localSheetId="3">'Module 3'!#REF!</definedName>
    <definedName name="Density_Bonus" localSheetId="4">'Module 4'!#REF!</definedName>
    <definedName name="Difference_IRR" localSheetId="1">'Module 1'!#REF!</definedName>
    <definedName name="Difference_IRR" localSheetId="2">'Module 2'!#REF!</definedName>
    <definedName name="Difference_IRR" localSheetId="3">'Module 3'!$N$13</definedName>
    <definedName name="Difference_IRR" localSheetId="4">'Module 4'!$N$13</definedName>
    <definedName name="Difference_Yield" localSheetId="1">'Module 1'!#REF!</definedName>
    <definedName name="Difference_Yield" localSheetId="2">'Module 2'!#REF!</definedName>
    <definedName name="Difference_Yield" localSheetId="3">'Module 3'!$N$9</definedName>
    <definedName name="Difference_Yield" localSheetId="4">'Module 4'!$N$9</definedName>
    <definedName name="Equity_Amount" localSheetId="3">'Module 3'!$D$42</definedName>
    <definedName name="Equity_Amount" localSheetId="4">'Module 4'!$D$51</definedName>
    <definedName name="Exit_Cap_Rate" localSheetId="1">'Module 1'!$G$67</definedName>
    <definedName name="Exit_Cap_Rate" localSheetId="2">'Module 2'!$G$74</definedName>
    <definedName name="Exit_Cap_Rate" localSheetId="3">'Module 3'!$G$55</definedName>
    <definedName name="Exit_Cap_Rate" localSheetId="4">'Module 4'!$G$67</definedName>
    <definedName name="Expedited_Process" localSheetId="1">'Module 1'!$G$46</definedName>
    <definedName name="Expedited_Process" localSheetId="2">'Module 2'!$G$53</definedName>
    <definedName name="Expedited_Process" localSheetId="4">'Module 4'!$D$31</definedName>
    <definedName name="Fees" localSheetId="4">'Module 4'!$D$57</definedName>
    <definedName name="Financing_Sale_Costs" localSheetId="1">'Module 1'!#REF!</definedName>
    <definedName name="Financing_Sale_Costs" localSheetId="2">'Module 2'!#REF!</definedName>
    <definedName name="Financing_Sale_Costs" localSheetId="3">'Module 3'!$D$31</definedName>
    <definedName name="Financing_Sale_Costs" localSheetId="4">'Module 4'!$D$39</definedName>
    <definedName name="Forgivable_Loan" localSheetId="1">'Module 1'!$G$53</definedName>
    <definedName name="Forgivable_Loan" localSheetId="2">'Module 2'!$G$60</definedName>
    <definedName name="Forgivable_Loan" localSheetId="3">'Module 3'!#REF!</definedName>
    <definedName name="Forgivable_Loan" localSheetId="4">'Module 4'!#REF!</definedName>
    <definedName name="Forgivable_Loan_Amt" localSheetId="1">'Module 1'!$G$55</definedName>
    <definedName name="Forgivable_Loan_Amt" localSheetId="2">'Module 2'!$G$62</definedName>
    <definedName name="Forgivable_Loan_Amt" localSheetId="3">'Module 3'!#REF!</definedName>
    <definedName name="Forgivable_Loan_Amt" localSheetId="4">'Module 4'!$D$29</definedName>
    <definedName name="Gap_Financing" localSheetId="1">'Module 1'!$D$46</definedName>
    <definedName name="Gap_Financing" localSheetId="2">'Module 2'!$D$53</definedName>
    <definedName name="Gap_Financing" localSheetId="3">'Module 3'!#REF!</definedName>
    <definedName name="Gap_Financing" localSheetId="4">'Module 4'!#REF!</definedName>
    <definedName name="Gap_Financing_Amt" localSheetId="4">'Module 4'!#REF!</definedName>
    <definedName name="Gap_Loan" localSheetId="1">'Module 1'!#REF!</definedName>
    <definedName name="Gap_Loan" localSheetId="2">'Module 2'!#REF!</definedName>
    <definedName name="Gap_Loan" localSheetId="3">'Module 3'!#REF!</definedName>
    <definedName name="Gap_Loan" localSheetId="4">'Module 4'!$G$53</definedName>
    <definedName name="Gap_Loan_Amt" localSheetId="1">'Module 1'!#REF!</definedName>
    <definedName name="Gap_Loan_Amt" localSheetId="2">'Module 2'!#REF!</definedName>
    <definedName name="Gap_Loan_Amt" localSheetId="3">'Module 3'!#REF!</definedName>
    <definedName name="Gap_Loan_Amt" localSheetId="4">'Module 4'!$G$53</definedName>
    <definedName name="GF_Loan_Rate" localSheetId="1">'Module 1'!$D$50</definedName>
    <definedName name="GF_Loan_Rate" localSheetId="2">'Module 2'!$D$57</definedName>
    <definedName name="GF_Loan_Rate" localSheetId="3">'Module 3'!#REF!</definedName>
    <definedName name="GF_Loan_Rate" localSheetId="4">'Module 4'!#REF!</definedName>
    <definedName name="GF_Per_Unit" localSheetId="1">'Module 1'!$D$49</definedName>
    <definedName name="GF_Per_Unit" localSheetId="2">'Module 2'!$D$56</definedName>
    <definedName name="GF_Per_Unit" localSheetId="3">'Module 3'!#REF!</definedName>
    <definedName name="GF_Per_Unit" localSheetId="4">'Module 4'!#REF!</definedName>
    <definedName name="Hard_Cost_per_unit" localSheetId="1">'Module 1'!#REF!</definedName>
    <definedName name="Hard_Cost_per_unit" localSheetId="2">'Module 2'!#REF!</definedName>
    <definedName name="Hard_Cost_per_unit" localSheetId="3">'Module 3'!#REF!</definedName>
    <definedName name="Hard_Cost_per_unit" localSheetId="4">'Module 4'!#REF!</definedName>
    <definedName name="Incentive_Construction_Costs" localSheetId="1">'Module 1'!$G$20</definedName>
    <definedName name="Incentive_Construction_Costs" localSheetId="2">'Module 2'!$G$27</definedName>
    <definedName name="Incentive_Construction_Costs" localSheetId="3">'Module 3'!$G$28</definedName>
    <definedName name="Incentive_Construction_Costs" localSheetId="4">'Module 4'!$G$36</definedName>
    <definedName name="Incentive_Financing_Sale_Costs" localSheetId="1">'Module 1'!#REF!</definedName>
    <definedName name="Incentive_Financing_Sale_Costs" localSheetId="2">'Module 2'!#REF!</definedName>
    <definedName name="Incentive_Financing_Sale_Costs" localSheetId="3">'Module 3'!$G$31</definedName>
    <definedName name="Incentive_Financing_Sale_Costs" localSheetId="4">'Module 4'!$G$39</definedName>
    <definedName name="Incentive_Hard_Cost_per_unit" localSheetId="1">'Module 1'!#REF!</definedName>
    <definedName name="Incentive_Hard_Cost_per_unit" localSheetId="2">'Module 2'!#REF!</definedName>
    <definedName name="Incentive_Hard_Cost_per_unit" localSheetId="3">'Module 3'!#REF!</definedName>
    <definedName name="Incentive_Hard_Cost_per_unit" localSheetId="4">'Module 4'!#REF!</definedName>
    <definedName name="Incentive_IRR" localSheetId="1">'Module 1'!#REF!</definedName>
    <definedName name="Incentive_IRR" localSheetId="2">'Module 2'!#REF!</definedName>
    <definedName name="Incentive_IRR" localSheetId="3">'Module 3'!$K$9</definedName>
    <definedName name="Incentive_IRR" localSheetId="4">'Module 4'!$J$17</definedName>
    <definedName name="Incentive_Land_Costs" localSheetId="1">'Module 1'!$G$21</definedName>
    <definedName name="Incentive_Land_Costs" localSheetId="2">'Module 2'!$G$28</definedName>
    <definedName name="Incentive_Land_Costs" localSheetId="3">'Module 3'!$G$29</definedName>
    <definedName name="Incentive_Land_Costs" localSheetId="4">'Module 4'!$G$37</definedName>
    <definedName name="Incentive_Per_Door_Land_Cost" localSheetId="1">'Module 1'!#REF!</definedName>
    <definedName name="Incentive_Per_Door_Land_Cost" localSheetId="2">'Module 2'!#REF!</definedName>
    <definedName name="Incentive_Per_Door_Land_Cost" localSheetId="3">'Module 3'!#REF!</definedName>
    <definedName name="Incentive_Per_Door_Land_Cost" localSheetId="4">'Module 4'!#REF!</definedName>
    <definedName name="Incentive_Pre_Development_Costs" localSheetId="1">'Module 1'!$G$19</definedName>
    <definedName name="Incentive_Pre_Development_Costs" localSheetId="2">'Module 2'!$G$26</definedName>
    <definedName name="Incentive_Pre_Development_Costs" localSheetId="3">'Module 3'!$G$27</definedName>
    <definedName name="Incentive_Pre_Development_Costs" localSheetId="4">'Module 4'!$G$35</definedName>
    <definedName name="Incentive_Rental_Sales_Price" localSheetId="1">'Module 1'!$G$26</definedName>
    <definedName name="Incentive_Rental_Sales_Price" localSheetId="2">'Module 2'!$G$33</definedName>
    <definedName name="Incentive_Rental_Sales_Price" localSheetId="3">'Module 3'!$G$35</definedName>
    <definedName name="Incentive_Sales_Price" localSheetId="4">'Module 4'!$G$43</definedName>
    <definedName name="Incentive_Soft_Cost_per_unit" localSheetId="1">'Module 1'!#REF!</definedName>
    <definedName name="Incentive_Soft_Cost_per_unit" localSheetId="2">'Module 2'!#REF!</definedName>
    <definedName name="Incentive_Soft_Cost_per_unit" localSheetId="3">'Module 3'!#REF!</definedName>
    <definedName name="Incentive_Soft_Cost_per_unit" localSheetId="4">'Module 4'!#REF!</definedName>
    <definedName name="Incentive_Total_Project_Costs" localSheetId="1">'Module 1'!$G$22</definedName>
    <definedName name="Incentive_Total_Project_Costs" localSheetId="2">'Module 2'!$G$29</definedName>
    <definedName name="Incentive_Total_Project_Costs" localSheetId="3">'Module 3'!$G$30</definedName>
    <definedName name="Incentive_Total_Project_Costs" localSheetId="4">'Module 4'!$G$38</definedName>
    <definedName name="Incentive_Weighted_Avg_Rent" localSheetId="1">'Module 1'!$H$74</definedName>
    <definedName name="Incentive_Weighted_Avg_Rent" localSheetId="2">'Module 2'!$H$81</definedName>
    <definedName name="Incentive_Weighted_Avg_Rent" localSheetId="3">'Module 3'!#REF!</definedName>
    <definedName name="Incentive_Weighted_Avg_Rent" localSheetId="4">'Module 4'!#REF!</definedName>
    <definedName name="Incentive_Weighted_Avg_Rent">#REF!</definedName>
    <definedName name="Incentive_Yield_on_Cost" localSheetId="1">'Module 1'!#REF!</definedName>
    <definedName name="Incentive_Yield_on_Cost" localSheetId="2">'Module 2'!#REF!</definedName>
    <definedName name="Incentive_Yield_on_Cost" localSheetId="3">'Module 3'!#REF!</definedName>
    <definedName name="Incentive_Yield_on_Cost" localSheetId="4">'Module 4'!$L$9</definedName>
    <definedName name="Incentives_Loan_Payment" localSheetId="1">'Module 1'!#REF!</definedName>
    <definedName name="Incentives_Loan_Payment" localSheetId="2">'Module 2'!#REF!</definedName>
    <definedName name="Incentives_Loan_Payment" localSheetId="3">'Module 3'!$G$45</definedName>
    <definedName name="Incentives_Loan_Payment" localSheetId="4">'Module 4'!$G$54</definedName>
    <definedName name="Inclusionary_Zoning_Rent_Change" localSheetId="1">'Module 1'!#REF!</definedName>
    <definedName name="Inclusionary_Zoning_Rent_Change" localSheetId="2">'Module 2'!#REF!</definedName>
    <definedName name="Inclusionary_Zoning_Rent_Change" localSheetId="3">'Module 3'!#REF!</definedName>
    <definedName name="Inclusionary_Zoning_Rent_Change" localSheetId="4">'Module 4'!$J$21</definedName>
    <definedName name="IRR" localSheetId="1">'Module 1'!#REF!</definedName>
    <definedName name="IRR" localSheetId="2">'Module 2'!#REF!</definedName>
    <definedName name="IRR" localSheetId="3">'Module 3'!$I$9</definedName>
    <definedName name="IRR" localSheetId="4">'Module 4'!$J$13</definedName>
    <definedName name="Land_Costs" localSheetId="1">'Module 1'!$D$21</definedName>
    <definedName name="Land_Costs" localSheetId="2">'Module 2'!$D$28</definedName>
    <definedName name="Land_Costs" localSheetId="3">'Module 3'!$D$29</definedName>
    <definedName name="Land_Costs" localSheetId="4">'Module 4'!$D$37</definedName>
    <definedName name="Land_Provision" localSheetId="1">'Module 1'!$D$53</definedName>
    <definedName name="Land_Provision" localSheetId="2">'Module 2'!$D$60</definedName>
    <definedName name="Land_Provision" localSheetId="3">'Module 3'!#REF!</definedName>
    <definedName name="Land_Provision" localSheetId="4">'Module 4'!$G$18</definedName>
    <definedName name="Land_Provision_Pct" localSheetId="1">'Module 1'!$D$55</definedName>
    <definedName name="Land_Provision_Pct" localSheetId="2">'Module 2'!$D$62</definedName>
    <definedName name="Land_Provision_Pct" localSheetId="3">'Module 3'!#REF!</definedName>
    <definedName name="Land_Provision_Pct" localSheetId="4">'Module 4'!$G$20</definedName>
    <definedName name="LandCost" localSheetId="1">'Module 1'!#REF!</definedName>
    <definedName name="LandCost" localSheetId="2">'Module 2'!#REF!</definedName>
    <definedName name="LandCost" localSheetId="3">'Module 3'!#REF!</definedName>
    <definedName name="LandCost" localSheetId="4">'Module 4'!#REF!</definedName>
    <definedName name="Loan_Payment" localSheetId="1">'Module 1'!#REF!</definedName>
    <definedName name="Loan_Payment" localSheetId="2">'Module 2'!#REF!</definedName>
    <definedName name="Loan_Payment" localSheetId="3">'Module 3'!$D$45</definedName>
    <definedName name="Loan_Payment" localSheetId="4">'Module 4'!$D$54</definedName>
    <definedName name="Market_Rent_Avg" localSheetId="1">'Module 1'!$D$41</definedName>
    <definedName name="Market_Rent_Avg" localSheetId="2">'Module 2'!$D$48</definedName>
    <definedName name="Market_Rent_Avg" localSheetId="3">'Module 3'!#REF!</definedName>
    <definedName name="Market_Rent_Avg" localSheetId="4">'Module 4'!$D$24</definedName>
    <definedName name="Month_of_Sale" localSheetId="1">'Module 1'!$D$68</definedName>
    <definedName name="Month_of_Sale" localSheetId="2">'Module 2'!$D$75</definedName>
    <definedName name="Month_of_Sale" localSheetId="3">'Module 3'!$D$56</definedName>
    <definedName name="Month_of_Sale" localSheetId="4">'Module 4'!$D$68</definedName>
    <definedName name="Monthly_incentive_soft_cost_per_unit" localSheetId="1">'Module 1'!#REF!</definedName>
    <definedName name="Monthly_incentive_soft_cost_per_unit" localSheetId="2">'Module 2'!#REF!</definedName>
    <definedName name="Monthly_incentive_soft_cost_per_unit" localSheetId="3">'Module 3'!#REF!</definedName>
    <definedName name="Monthly_incentive_soft_cost_per_unit" localSheetId="4">'Module 4'!#REF!</definedName>
    <definedName name="Monthly_Rent_Gap" localSheetId="1">'Module 1'!$D$43</definedName>
    <definedName name="Monthly_Rent_Gap" localSheetId="2">'Module 2'!$D$50</definedName>
    <definedName name="Monthly_Rent_Gap" localSheetId="3">'Module 3'!#REF!</definedName>
    <definedName name="Monthly_soft_cost_per_unit" localSheetId="1">'Module 1'!#REF!</definedName>
    <definedName name="Monthly_soft_cost_per_unit" localSheetId="2">'Module 2'!#REF!</definedName>
    <definedName name="Monthly_soft_cost_per_unit" localSheetId="3">'Module 3'!#REF!</definedName>
    <definedName name="Monthly_soft_cost_per_unit" localSheetId="4">'Module 4'!#REF!</definedName>
    <definedName name="NOI" localSheetId="1">'Module 1'!$D$86</definedName>
    <definedName name="NOI" localSheetId="2">'Module 2'!$D$93</definedName>
    <definedName name="NOI" localSheetId="3">'Module 3'!#REF!</definedName>
    <definedName name="NOI" localSheetId="4">'Module 4'!#REF!</definedName>
    <definedName name="NOI_Affordable" localSheetId="1">'Module 1'!$D$93</definedName>
    <definedName name="NOI_Affordable" localSheetId="2">'Module 2'!$D$100</definedName>
    <definedName name="NOI_Affordable" localSheetId="3">'Module 3'!#REF!</definedName>
    <definedName name="NOI_Affordable" localSheetId="4">'Module 4'!#REF!</definedName>
    <definedName name="Parking_AB" localSheetId="1">'Module 1'!#REF!</definedName>
    <definedName name="Parking_AB" localSheetId="2">'Module 2'!#REF!</definedName>
    <definedName name="Parking_AB" localSheetId="3">'Module 3'!#REF!</definedName>
    <definedName name="Parking_AB" localSheetId="4">'Module 4'!#REF!</definedName>
    <definedName name="Parking_Spaces_per_Unit" localSheetId="1">'Module 1'!#REF!</definedName>
    <definedName name="Parking_Spaces_per_Unit" localSheetId="2">'Module 2'!#REF!</definedName>
    <definedName name="Parking_Spaces_per_Unit" localSheetId="3">'Module 3'!#REF!</definedName>
    <definedName name="Parking_Spaces_per_Unit" localSheetId="4">'Module 4'!#REF!</definedName>
    <definedName name="Per_Unit_Affordable_Price" localSheetId="4">'Module 4'!$G$13</definedName>
    <definedName name="Per_Unit_Market_Price" localSheetId="4">'Module 4'!$G$11</definedName>
    <definedName name="Per_Unit_Total_Cost" localSheetId="1">'Module 1'!$D$24</definedName>
    <definedName name="Per_Unit_Total_Cost" localSheetId="2">'Module 2'!$D$31</definedName>
    <definedName name="Per_Unit_Total_Cost" localSheetId="3">'Module 3'!$D$33</definedName>
    <definedName name="Per_Unit_Total_Cost" localSheetId="4">'Module 4'!$D$41</definedName>
    <definedName name="Pre_Dev_Property_Tax" localSheetId="1">'Module 1'!$G$68</definedName>
    <definedName name="Pre_Dev_Property_Tax" localSheetId="2">'Module 2'!$G$75</definedName>
    <definedName name="Pre_Dev_Property_Tax" localSheetId="3">'Module 3'!$G$56</definedName>
    <definedName name="Pre_Dev_Property_Tax" localSheetId="4">'Module 4'!$G$68</definedName>
    <definedName name="Pre_Development_Costs" localSheetId="1">'Module 1'!$D$19</definedName>
    <definedName name="Pre_Development_Costs" localSheetId="2">'Module 2'!$D$26</definedName>
    <definedName name="Pre_Development_Costs" localSheetId="3">'Module 3'!$D$27</definedName>
    <definedName name="Pre_Development_Costs" localSheetId="4">'Module 4'!$D$35</definedName>
    <definedName name="Predev_Interest" localSheetId="1">'Module 1'!#REF!</definedName>
    <definedName name="Predev_Interest" localSheetId="2">'Module 2'!#REF!</definedName>
    <definedName name="Predev_Interest" localSheetId="3">'Module 3'!$D$41</definedName>
    <definedName name="Predev_Interest" localSheetId="4">'Module 4'!$D$50</definedName>
    <definedName name="PreDev_Timeline" localSheetId="1">'Module 1'!$G$63</definedName>
    <definedName name="PreDev_Timeline" localSheetId="2">'Module 2'!$G$70</definedName>
    <definedName name="PreDev_Timeline" localSheetId="3">'Module 3'!$G$52</definedName>
    <definedName name="PreDev_Timeline" localSheetId="4">'Module 4'!$G$63</definedName>
    <definedName name="Price_Land_Context" localSheetId="1">'Module 1'!$D$9</definedName>
    <definedName name="Price_Land_Context" localSheetId="2">'Module 2'!$D$9</definedName>
    <definedName name="Price_Land_Context" localSheetId="3">'Module 3'!$D$9</definedName>
    <definedName name="Price_Land_Context" localSheetId="4">'Module 4'!$D$9</definedName>
    <definedName name="Price_Land_Context">#REF!</definedName>
    <definedName name="Primary_Loan_Amount" localSheetId="3">'Module 3'!$D$43</definedName>
    <definedName name="Primary_Loan_Amount" localSheetId="4">'Module 4'!$D$52</definedName>
    <definedName name="Rate_Escalator" localSheetId="1">'Module 1'!$D$102</definedName>
    <definedName name="Rate_Escalator" localSheetId="2">'Module 2'!$D$109</definedName>
    <definedName name="Rate_Escalator" localSheetId="3">'Module 3'!$D$60</definedName>
    <definedName name="Rate_Escalator" localSheetId="4">'Module 4'!$D$73</definedName>
    <definedName name="Reduced_Review_Timeline" localSheetId="1">'Module 1'!$G$46</definedName>
    <definedName name="Reduced_Review_Timeline" localSheetId="2">'Module 2'!$G$53</definedName>
    <definedName name="Reduced_Review_Timeline" localSheetId="4">'Module 4'!$D$29</definedName>
    <definedName name="Rent_Escalation_Rate" localSheetId="1">'Module 1'!$D$102</definedName>
    <definedName name="Rent_Escalation_Rate" localSheetId="2">'Module 2'!$D$109</definedName>
    <definedName name="Rent_Escalation_Rate" localSheetId="3">'Module 3'!$D$60</definedName>
    <definedName name="Rent_Escalation_Rate" localSheetId="4">'Module 4'!$D$73</definedName>
    <definedName name="Rental_Sale_Price" localSheetId="1">'Module 1'!$D$26</definedName>
    <definedName name="Rental_Sale_Price" localSheetId="2">'Module 2'!$D$33</definedName>
    <definedName name="Sale_Price" localSheetId="3">'Module 3'!$D$35</definedName>
    <definedName name="Sale_Price" localSheetId="4">'Module 4'!$D$43</definedName>
    <definedName name="Site_Costs_per_unit" localSheetId="1">'Module 1'!#REF!</definedName>
    <definedName name="Site_Costs_per_unit" localSheetId="2">'Module 2'!#REF!</definedName>
    <definedName name="Site_Costs_per_unit" localSheetId="3">'Module 3'!#REF!</definedName>
    <definedName name="Site_Costs_per_unit" localSheetId="4">'Module 4'!#REF!</definedName>
    <definedName name="Soft_Cost_per_unit" localSheetId="1">'Module 1'!#REF!</definedName>
    <definedName name="Soft_Cost_per_unit" localSheetId="2">'Module 2'!#REF!</definedName>
    <definedName name="Soft_Cost_per_unit" localSheetId="3">'Module 3'!#REF!</definedName>
    <definedName name="Soft_Cost_per_unit" localSheetId="4">'Module 4'!#REF!</definedName>
    <definedName name="Total_Affordable_Units" localSheetId="1">'Module 1'!#REF!</definedName>
    <definedName name="Total_Affordable_Units" localSheetId="2">'Module 2'!#REF!</definedName>
    <definedName name="Total_Affordable_Units" localSheetId="3">'Module 3'!#REF!</definedName>
    <definedName name="Total_Affordable_Units" localSheetId="4">'Module 4'!#REF!</definedName>
    <definedName name="Total_New_Tax_Revenue" localSheetId="1">'Module 1'!#REF!</definedName>
    <definedName name="Total_New_Tax_Revenue" localSheetId="2">'Module 2'!#REF!</definedName>
    <definedName name="Total_New_Tax_Revenue" localSheetId="3">'Module 3'!$J$33</definedName>
    <definedName name="Total_New_Tax_Revenue" localSheetId="4">'Module 4'!$J$28</definedName>
    <definedName name="Total_Project_Costs" localSheetId="1">'Module 1'!$D$22</definedName>
    <definedName name="Total_Project_Costs" localSheetId="2">'Module 2'!$D$29</definedName>
    <definedName name="Total_Project_Costs" localSheetId="3">'Module 3'!$D$30</definedName>
    <definedName name="Total_Project_Costs" localSheetId="4">'Module 4'!$D$38</definedName>
    <definedName name="Total_Revenue_Waived" localSheetId="1">'Module 1'!#REF!</definedName>
    <definedName name="Total_Revenue_Waived" localSheetId="2">'Module 2'!#REF!</definedName>
    <definedName name="Total_Revenue_Waived" localSheetId="3">'Module 3'!#REF!</definedName>
    <definedName name="Total_Revenue_Waived" localSheetId="4">'Module 4'!$L$28</definedName>
    <definedName name="Total_Units" localSheetId="1">'Module 1'!$D$11</definedName>
    <definedName name="Total_Units" localSheetId="2">'Module 2'!$D$11</definedName>
    <definedName name="Total_Units" localSheetId="3">'Module 3'!$D$10</definedName>
    <definedName name="Total_Units" localSheetId="4">'Module 4'!$D$11</definedName>
    <definedName name="Units_Affordable" localSheetId="1">'Module 1'!#REF!</definedName>
    <definedName name="Units_Affordable" localSheetId="2">'Module 2'!#REF!</definedName>
    <definedName name="Units_Affordable" localSheetId="3">'Module 3'!#REF!</definedName>
    <definedName name="Units_Affordable" localSheetId="4">'Module 4'!#REF!</definedName>
    <definedName name="Units_Default">#REF!</definedName>
    <definedName name="Weighted_Avg_Rent" localSheetId="1">'Module 1'!$D$74</definedName>
    <definedName name="Weighted_Avg_Rent" localSheetId="2">'Module 2'!$D$81</definedName>
    <definedName name="Weighted_Avg_Rent" localSheetId="3">'Module 3'!#REF!</definedName>
    <definedName name="Weighted_Avg_Rent" localSheetId="4">'Module 4'!#REF!</definedName>
    <definedName name="Weighted_Incentive_NOI" localSheetId="1">'Module 1'!$G$97</definedName>
    <definedName name="Weighted_Incentive_NOI" localSheetId="2">'Module 2'!$G$104</definedName>
    <definedName name="Weighted_Incentive_NOI" localSheetId="3">'Module 3'!#REF!</definedName>
    <definedName name="Weighted_Incentive_NOI" localSheetId="4">'Module 4'!#REF!</definedName>
    <definedName name="Weighted_NOI" localSheetId="1">'Module 1'!$D$97</definedName>
    <definedName name="Weighted_NOI" localSheetId="2">'Module 2'!$D$104</definedName>
    <definedName name="Weighted_NOI" localSheetId="3">'Module 3'!#REF!</definedName>
    <definedName name="Weighted_NOI" localSheetId="4">'Module 4'!#REF!</definedName>
    <definedName name="Year_of_Sale" localSheetId="1">'Module 1'!#REF!</definedName>
    <definedName name="Year_of_Sale" localSheetId="2">'Module 2'!#REF!</definedName>
    <definedName name="Year_of_Sale" localSheetId="3">'Module 3'!#REF!</definedName>
    <definedName name="Year_of_Sale" localSheetId="4">'Module 4'!#REF!</definedName>
    <definedName name="Yield_on_Cost" localSheetId="1">'Module 1'!$G$9</definedName>
    <definedName name="Yield_on_Cost" localSheetId="2">'Module 2'!$G$9</definedName>
    <definedName name="Yield_on_Cost" localSheetId="3">'Module 3'!$G$9</definedName>
    <definedName name="Yield_on_Cost" localSheetId="4">'Module 4'!$J$9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3" i="29" l="1"/>
  <c r="D17" i="27"/>
  <c r="D57" i="26"/>
  <c r="G57" i="26" s="1"/>
  <c r="L637" i="26"/>
  <c r="L638" i="26"/>
  <c r="L639" i="26"/>
  <c r="L640" i="26"/>
  <c r="L641" i="26"/>
  <c r="L642" i="26"/>
  <c r="L643" i="26"/>
  <c r="L644" i="26"/>
  <c r="L645" i="26"/>
  <c r="L646" i="26"/>
  <c r="L647" i="26"/>
  <c r="L648" i="26"/>
  <c r="L649" i="26"/>
  <c r="L650" i="26"/>
  <c r="L651" i="26"/>
  <c r="L652" i="26"/>
  <c r="L653" i="26"/>
  <c r="L654" i="26"/>
  <c r="L655" i="26"/>
  <c r="L656" i="26"/>
  <c r="L657" i="26"/>
  <c r="L658" i="26"/>
  <c r="L659" i="26"/>
  <c r="L660" i="26"/>
  <c r="L661" i="26"/>
  <c r="L662" i="26"/>
  <c r="L663" i="26"/>
  <c r="L664" i="26"/>
  <c r="L665" i="26"/>
  <c r="L666" i="26"/>
  <c r="L667" i="26"/>
  <c r="L668" i="26"/>
  <c r="L669" i="26"/>
  <c r="L670" i="26"/>
  <c r="L671" i="26"/>
  <c r="L672" i="26"/>
  <c r="L673" i="26"/>
  <c r="L674" i="26"/>
  <c r="L675" i="26"/>
  <c r="L676" i="26"/>
  <c r="L677" i="26"/>
  <c r="L678" i="26"/>
  <c r="L679" i="26"/>
  <c r="L680" i="26"/>
  <c r="L681" i="26"/>
  <c r="L682" i="26"/>
  <c r="L683" i="26"/>
  <c r="L684" i="26"/>
  <c r="L685" i="26"/>
  <c r="L686" i="26"/>
  <c r="L687" i="26"/>
  <c r="L688" i="26"/>
  <c r="L689" i="26"/>
  <c r="L690" i="26"/>
  <c r="L691" i="26"/>
  <c r="L692" i="26"/>
  <c r="L693" i="26"/>
  <c r="L694" i="26"/>
  <c r="L695" i="26"/>
  <c r="L696" i="26"/>
  <c r="L697" i="26"/>
  <c r="L698" i="26"/>
  <c r="L699" i="26"/>
  <c r="L700" i="26"/>
  <c r="L701" i="26"/>
  <c r="L702" i="26"/>
  <c r="L703" i="26"/>
  <c r="L704" i="26"/>
  <c r="L705" i="26"/>
  <c r="L706" i="26"/>
  <c r="L707" i="26"/>
  <c r="L708" i="26"/>
  <c r="L709" i="26"/>
  <c r="L710" i="26"/>
  <c r="L711" i="26"/>
  <c r="L712" i="26"/>
  <c r="L713" i="26"/>
  <c r="L714" i="26"/>
  <c r="L715" i="26"/>
  <c r="L716" i="26"/>
  <c r="L717" i="26"/>
  <c r="L718" i="26"/>
  <c r="L719" i="26"/>
  <c r="L720" i="26"/>
  <c r="L721" i="26"/>
  <c r="L722" i="26"/>
  <c r="L723" i="26"/>
  <c r="L724" i="26"/>
  <c r="L725" i="26"/>
  <c r="L726" i="26"/>
  <c r="L727" i="26"/>
  <c r="L728" i="26"/>
  <c r="L729" i="26"/>
  <c r="L730" i="26"/>
  <c r="L731" i="26"/>
  <c r="L732" i="26"/>
  <c r="L733" i="26"/>
  <c r="L734" i="26"/>
  <c r="L735" i="26"/>
  <c r="L736" i="26"/>
  <c r="L737" i="26"/>
  <c r="L738" i="26"/>
  <c r="L739" i="26"/>
  <c r="L740" i="26"/>
  <c r="L741" i="26"/>
  <c r="L742" i="26"/>
  <c r="L743" i="26"/>
  <c r="L744" i="26"/>
  <c r="L745" i="26"/>
  <c r="L746" i="26"/>
  <c r="L747" i="26"/>
  <c r="L748" i="26"/>
  <c r="L749" i="26"/>
  <c r="L750" i="26"/>
  <c r="L751" i="26"/>
  <c r="L752" i="26"/>
  <c r="L753" i="26"/>
  <c r="L754" i="26"/>
  <c r="L755" i="26"/>
  <c r="L756" i="26"/>
  <c r="L757" i="26"/>
  <c r="L758" i="26"/>
  <c r="L759" i="26"/>
  <c r="L760" i="26"/>
  <c r="L761" i="26"/>
  <c r="L762" i="26"/>
  <c r="L763" i="26"/>
  <c r="L764" i="26"/>
  <c r="L765" i="26"/>
  <c r="L766" i="26"/>
  <c r="L767" i="26"/>
  <c r="L768" i="26"/>
  <c r="L769" i="26"/>
  <c r="L770" i="26"/>
  <c r="L771" i="26"/>
  <c r="L772" i="26"/>
  <c r="L773" i="26"/>
  <c r="L774" i="26"/>
  <c r="L775" i="26"/>
  <c r="L776" i="26"/>
  <c r="L777" i="26"/>
  <c r="L778" i="26"/>
  <c r="L779" i="26"/>
  <c r="L780" i="26"/>
  <c r="L781" i="26"/>
  <c r="L782" i="26"/>
  <c r="L783" i="26"/>
  <c r="L784" i="26"/>
  <c r="L785" i="26"/>
  <c r="L786" i="26"/>
  <c r="L787" i="26"/>
  <c r="L788" i="26"/>
  <c r="L789" i="26"/>
  <c r="L790" i="26"/>
  <c r="L791" i="26"/>
  <c r="L792" i="26"/>
  <c r="L793" i="26"/>
  <c r="L794" i="26"/>
  <c r="L795" i="26"/>
  <c r="L796" i="26"/>
  <c r="L797" i="26"/>
  <c r="L798" i="26"/>
  <c r="L799" i="26"/>
  <c r="L800" i="26"/>
  <c r="L801" i="26"/>
  <c r="L802" i="26"/>
  <c r="L803" i="26"/>
  <c r="L804" i="26"/>
  <c r="L805" i="26"/>
  <c r="L806" i="26"/>
  <c r="L807" i="26"/>
  <c r="L808" i="26"/>
  <c r="L809" i="26"/>
  <c r="L810" i="26"/>
  <c r="L811" i="26"/>
  <c r="L812" i="26"/>
  <c r="L813" i="26"/>
  <c r="L814" i="26"/>
  <c r="L815" i="26"/>
  <c r="L636" i="26"/>
  <c r="L263" i="26"/>
  <c r="L264" i="26"/>
  <c r="L265" i="26"/>
  <c r="L266" i="26"/>
  <c r="L267" i="26"/>
  <c r="L268" i="26"/>
  <c r="L269" i="26"/>
  <c r="L270" i="26"/>
  <c r="L271" i="26"/>
  <c r="L272" i="26"/>
  <c r="L273" i="26"/>
  <c r="L274" i="26"/>
  <c r="L275" i="26"/>
  <c r="L276" i="26"/>
  <c r="L277" i="26"/>
  <c r="L278" i="26"/>
  <c r="L279" i="26"/>
  <c r="L280" i="26"/>
  <c r="L281" i="26"/>
  <c r="L282" i="26"/>
  <c r="L283" i="26"/>
  <c r="L284" i="26"/>
  <c r="L285" i="26"/>
  <c r="L286" i="26"/>
  <c r="L287" i="26"/>
  <c r="L288" i="26"/>
  <c r="L289" i="26"/>
  <c r="L290" i="26"/>
  <c r="L291" i="26"/>
  <c r="L292" i="26"/>
  <c r="L293" i="26"/>
  <c r="L294" i="26"/>
  <c r="L295" i="26"/>
  <c r="L296" i="26"/>
  <c r="L297" i="26"/>
  <c r="L298" i="26"/>
  <c r="L299" i="26"/>
  <c r="L300" i="26"/>
  <c r="L301" i="26"/>
  <c r="L302" i="26"/>
  <c r="L303" i="26"/>
  <c r="L304" i="26"/>
  <c r="L305" i="26"/>
  <c r="L306" i="26"/>
  <c r="L307" i="26"/>
  <c r="L308" i="26"/>
  <c r="L309" i="26"/>
  <c r="L310" i="26"/>
  <c r="L311" i="26"/>
  <c r="L312" i="26"/>
  <c r="L313" i="26"/>
  <c r="L314" i="26"/>
  <c r="L315" i="26"/>
  <c r="L316" i="26"/>
  <c r="L317" i="26"/>
  <c r="L318" i="26"/>
  <c r="L319" i="26"/>
  <c r="L320" i="26"/>
  <c r="L321" i="26"/>
  <c r="L322" i="26"/>
  <c r="L323" i="26"/>
  <c r="L324" i="26"/>
  <c r="L325" i="26"/>
  <c r="L326" i="26"/>
  <c r="L327" i="26"/>
  <c r="L328" i="26"/>
  <c r="L329" i="26"/>
  <c r="L330" i="26"/>
  <c r="L331" i="26"/>
  <c r="L332" i="26"/>
  <c r="L333" i="26"/>
  <c r="L334" i="26"/>
  <c r="L335" i="26"/>
  <c r="L336" i="26"/>
  <c r="L337" i="26"/>
  <c r="L338" i="26"/>
  <c r="L339" i="26"/>
  <c r="L340" i="26"/>
  <c r="L341" i="26"/>
  <c r="L342" i="26"/>
  <c r="L343" i="26"/>
  <c r="L344" i="26"/>
  <c r="L345" i="26"/>
  <c r="L346" i="26"/>
  <c r="L347" i="26"/>
  <c r="L348" i="26"/>
  <c r="L349" i="26"/>
  <c r="L350" i="26"/>
  <c r="L351" i="26"/>
  <c r="L352" i="26"/>
  <c r="L353" i="26"/>
  <c r="L354" i="26"/>
  <c r="L355" i="26"/>
  <c r="L356" i="26"/>
  <c r="L357" i="26"/>
  <c r="L358" i="26"/>
  <c r="L359" i="26"/>
  <c r="L360" i="26"/>
  <c r="L361" i="26"/>
  <c r="L362" i="26"/>
  <c r="L363" i="26"/>
  <c r="L364" i="26"/>
  <c r="L365" i="26"/>
  <c r="L366" i="26"/>
  <c r="L367" i="26"/>
  <c r="L368" i="26"/>
  <c r="L369" i="26"/>
  <c r="L370" i="26"/>
  <c r="L371" i="26"/>
  <c r="L372" i="26"/>
  <c r="L373" i="26"/>
  <c r="L374" i="26"/>
  <c r="L375" i="26"/>
  <c r="L376" i="26"/>
  <c r="L377" i="26"/>
  <c r="L378" i="26"/>
  <c r="L379" i="26"/>
  <c r="L380" i="26"/>
  <c r="L381" i="26"/>
  <c r="L382" i="26"/>
  <c r="L383" i="26"/>
  <c r="L384" i="26"/>
  <c r="L385" i="26"/>
  <c r="L386" i="26"/>
  <c r="L387" i="26"/>
  <c r="L388" i="26"/>
  <c r="L389" i="26"/>
  <c r="L390" i="26"/>
  <c r="L391" i="26"/>
  <c r="L392" i="26"/>
  <c r="L393" i="26"/>
  <c r="L394" i="26"/>
  <c r="L395" i="26"/>
  <c r="L396" i="26"/>
  <c r="L397" i="26"/>
  <c r="L398" i="26"/>
  <c r="L399" i="26"/>
  <c r="L400" i="26"/>
  <c r="L401" i="26"/>
  <c r="L402" i="26"/>
  <c r="L403" i="26"/>
  <c r="L404" i="26"/>
  <c r="L405" i="26"/>
  <c r="L406" i="26"/>
  <c r="L407" i="26"/>
  <c r="L408" i="26"/>
  <c r="L409" i="26"/>
  <c r="L410" i="26"/>
  <c r="L411" i="26"/>
  <c r="L412" i="26"/>
  <c r="L413" i="26"/>
  <c r="L414" i="26"/>
  <c r="L415" i="26"/>
  <c r="L416" i="26"/>
  <c r="L417" i="26"/>
  <c r="L418" i="26"/>
  <c r="L419" i="26"/>
  <c r="L420" i="26"/>
  <c r="L421" i="26"/>
  <c r="L422" i="26"/>
  <c r="L423" i="26"/>
  <c r="L424" i="26"/>
  <c r="L425" i="26"/>
  <c r="L426" i="26"/>
  <c r="L427" i="26"/>
  <c r="L428" i="26"/>
  <c r="L429" i="26"/>
  <c r="L430" i="26"/>
  <c r="L431" i="26"/>
  <c r="L432" i="26"/>
  <c r="L433" i="26"/>
  <c r="L434" i="26"/>
  <c r="L435" i="26"/>
  <c r="L436" i="26"/>
  <c r="L437" i="26"/>
  <c r="L438" i="26"/>
  <c r="L439" i="26"/>
  <c r="L440" i="26"/>
  <c r="L262" i="26"/>
  <c r="F632" i="26"/>
  <c r="F446" i="26"/>
  <c r="D18" i="27"/>
  <c r="G11" i="26" a="1"/>
  <c r="G11" i="26" s="1"/>
  <c r="D37" i="26" a="1"/>
  <c r="D37" i="26" s="1"/>
  <c r="D76" i="26" s="1"/>
  <c r="D36" i="26" a="1"/>
  <c r="D36" i="26" s="1"/>
  <c r="D35" i="26"/>
  <c r="D28" i="27" a="1"/>
  <c r="D28" i="27" s="1"/>
  <c r="D27" i="29" a="1"/>
  <c r="D27" i="29" s="1"/>
  <c r="D20" i="24" a="1"/>
  <c r="D20" i="24" s="1"/>
  <c r="D16" i="27" a="1"/>
  <c r="D16" i="27" s="1"/>
  <c r="D29" i="27" a="1"/>
  <c r="D29" i="27" s="1"/>
  <c r="D63" i="27" s="1"/>
  <c r="D27" i="27"/>
  <c r="D17" i="29" a="1"/>
  <c r="D17" i="29" s="1"/>
  <c r="D19" i="29"/>
  <c r="D18" i="29"/>
  <c r="D16" i="29" s="1"/>
  <c r="D28" i="29" a="1"/>
  <c r="D28" i="29" s="1"/>
  <c r="D26" i="29"/>
  <c r="D21" i="24" a="1"/>
  <c r="D21" i="24" s="1"/>
  <c r="D19" i="24"/>
  <c r="D26" i="24" a="1"/>
  <c r="D26" i="24" s="1"/>
  <c r="G52" i="27"/>
  <c r="D635" i="26"/>
  <c r="G22" i="26" l="1"/>
  <c r="G37" i="26" s="1"/>
  <c r="G35" i="26"/>
  <c r="E767" i="26" s="1"/>
  <c r="E261" i="26"/>
  <c r="E248" i="27"/>
  <c r="D29" i="29"/>
  <c r="D31" i="29" s="1"/>
  <c r="M636" i="26"/>
  <c r="M637" i="26" s="1"/>
  <c r="M638" i="26" s="1"/>
  <c r="M639" i="26" s="1"/>
  <c r="M640" i="26" s="1"/>
  <c r="M641" i="26" s="1"/>
  <c r="M642" i="26" s="1"/>
  <c r="M643" i="26" s="1"/>
  <c r="M644" i="26" s="1"/>
  <c r="M645" i="26" s="1"/>
  <c r="M646" i="26" s="1"/>
  <c r="M647" i="26" s="1"/>
  <c r="M648" i="26" s="1"/>
  <c r="M649" i="26" s="1"/>
  <c r="M650" i="26" s="1"/>
  <c r="M651" i="26" s="1"/>
  <c r="M652" i="26" s="1"/>
  <c r="M653" i="26" s="1"/>
  <c r="M654" i="26" s="1"/>
  <c r="M655" i="26" s="1"/>
  <c r="M656" i="26" s="1"/>
  <c r="M657" i="26" s="1"/>
  <c r="M658" i="26" s="1"/>
  <c r="M659" i="26" s="1"/>
  <c r="M660" i="26" s="1"/>
  <c r="M661" i="26" s="1"/>
  <c r="M662" i="26" s="1"/>
  <c r="M663" i="26" s="1"/>
  <c r="M664" i="26" s="1"/>
  <c r="M665" i="26" s="1"/>
  <c r="M666" i="26" s="1"/>
  <c r="M667" i="26" s="1"/>
  <c r="M668" i="26" s="1"/>
  <c r="M669" i="26" s="1"/>
  <c r="M670" i="26" s="1"/>
  <c r="M671" i="26" s="1"/>
  <c r="M672" i="26" s="1"/>
  <c r="M673" i="26" s="1"/>
  <c r="M674" i="26" s="1"/>
  <c r="M675" i="26" s="1"/>
  <c r="M676" i="26" s="1"/>
  <c r="M677" i="26" s="1"/>
  <c r="M678" i="26" s="1"/>
  <c r="M679" i="26" s="1"/>
  <c r="M680" i="26" s="1"/>
  <c r="M681" i="26" s="1"/>
  <c r="M682" i="26" s="1"/>
  <c r="M683" i="26" s="1"/>
  <c r="M684" i="26" s="1"/>
  <c r="M685" i="26" s="1"/>
  <c r="M686" i="26" s="1"/>
  <c r="M687" i="26" s="1"/>
  <c r="M688" i="26" s="1"/>
  <c r="M689" i="26" s="1"/>
  <c r="M690" i="26" s="1"/>
  <c r="M691" i="26" s="1"/>
  <c r="M692" i="26" s="1"/>
  <c r="M693" i="26" s="1"/>
  <c r="M694" i="26" s="1"/>
  <c r="M695" i="26" s="1"/>
  <c r="M696" i="26" s="1"/>
  <c r="M697" i="26" s="1"/>
  <c r="M698" i="26" s="1"/>
  <c r="M699" i="26" s="1"/>
  <c r="M700" i="26" s="1"/>
  <c r="M701" i="26" s="1"/>
  <c r="M702" i="26" s="1"/>
  <c r="M703" i="26" s="1"/>
  <c r="M704" i="26" s="1"/>
  <c r="M705" i="26" s="1"/>
  <c r="M706" i="26" s="1"/>
  <c r="M707" i="26" s="1"/>
  <c r="M708" i="26" s="1"/>
  <c r="M709" i="26" s="1"/>
  <c r="M710" i="26" s="1"/>
  <c r="M711" i="26" s="1"/>
  <c r="M712" i="26" s="1"/>
  <c r="M713" i="26" s="1"/>
  <c r="M714" i="26" s="1"/>
  <c r="M715" i="26" s="1"/>
  <c r="M716" i="26" s="1"/>
  <c r="M717" i="26" s="1"/>
  <c r="M718" i="26" s="1"/>
  <c r="M719" i="26" s="1"/>
  <c r="M720" i="26" s="1"/>
  <c r="M721" i="26" s="1"/>
  <c r="M722" i="26" s="1"/>
  <c r="M723" i="26" s="1"/>
  <c r="M724" i="26" s="1"/>
  <c r="M725" i="26" s="1"/>
  <c r="M726" i="26" s="1"/>
  <c r="M727" i="26" s="1"/>
  <c r="M728" i="26" s="1"/>
  <c r="M729" i="26" s="1"/>
  <c r="M730" i="26" s="1"/>
  <c r="M731" i="26" s="1"/>
  <c r="M732" i="26" s="1"/>
  <c r="M733" i="26" s="1"/>
  <c r="M734" i="26" s="1"/>
  <c r="M735" i="26" s="1"/>
  <c r="M736" i="26" s="1"/>
  <c r="M737" i="26" s="1"/>
  <c r="M738" i="26" s="1"/>
  <c r="M739" i="26" s="1"/>
  <c r="M740" i="26" s="1"/>
  <c r="M741" i="26" s="1"/>
  <c r="M742" i="26" s="1"/>
  <c r="M743" i="26" s="1"/>
  <c r="M744" i="26" s="1"/>
  <c r="M745" i="26" s="1"/>
  <c r="M746" i="26" s="1"/>
  <c r="M747" i="26" s="1"/>
  <c r="M748" i="26" s="1"/>
  <c r="M749" i="26" s="1"/>
  <c r="M750" i="26" s="1"/>
  <c r="M751" i="26" s="1"/>
  <c r="M752" i="26" s="1"/>
  <c r="M753" i="26" s="1"/>
  <c r="M754" i="26" s="1"/>
  <c r="M755" i="26" s="1"/>
  <c r="M756" i="26" s="1"/>
  <c r="M757" i="26" s="1"/>
  <c r="M758" i="26" s="1"/>
  <c r="M759" i="26" s="1"/>
  <c r="M760" i="26" s="1"/>
  <c r="M761" i="26" s="1"/>
  <c r="M762" i="26" s="1"/>
  <c r="M763" i="26" s="1"/>
  <c r="M764" i="26" s="1"/>
  <c r="M765" i="26" s="1"/>
  <c r="M766" i="26" s="1"/>
  <c r="M767" i="26" s="1"/>
  <c r="M768" i="26" s="1"/>
  <c r="M769" i="26" s="1"/>
  <c r="M770" i="26" s="1"/>
  <c r="M771" i="26" s="1"/>
  <c r="M772" i="26" s="1"/>
  <c r="M773" i="26" s="1"/>
  <c r="M774" i="26" s="1"/>
  <c r="M775" i="26" s="1"/>
  <c r="M776" i="26" s="1"/>
  <c r="M777" i="26" s="1"/>
  <c r="M778" i="26" s="1"/>
  <c r="M779" i="26" s="1"/>
  <c r="M780" i="26" s="1"/>
  <c r="M781" i="26" s="1"/>
  <c r="M782" i="26" s="1"/>
  <c r="M783" i="26" s="1"/>
  <c r="M784" i="26" s="1"/>
  <c r="M785" i="26" s="1"/>
  <c r="M786" i="26" s="1"/>
  <c r="M787" i="26" s="1"/>
  <c r="M788" i="26" s="1"/>
  <c r="M789" i="26" s="1"/>
  <c r="M790" i="26" s="1"/>
  <c r="M791" i="26" s="1"/>
  <c r="M792" i="26" s="1"/>
  <c r="M793" i="26" s="1"/>
  <c r="M794" i="26" s="1"/>
  <c r="M795" i="26" s="1"/>
  <c r="M796" i="26" s="1"/>
  <c r="M797" i="26" s="1"/>
  <c r="M798" i="26" s="1"/>
  <c r="M799" i="26" s="1"/>
  <c r="M800" i="26" s="1"/>
  <c r="M801" i="26" s="1"/>
  <c r="M802" i="26" s="1"/>
  <c r="M803" i="26" s="1"/>
  <c r="M804" i="26" s="1"/>
  <c r="M805" i="26" s="1"/>
  <c r="M806" i="26" s="1"/>
  <c r="M807" i="26" s="1"/>
  <c r="M808" i="26" s="1"/>
  <c r="M809" i="26" s="1"/>
  <c r="M810" i="26" s="1"/>
  <c r="M811" i="26" s="1"/>
  <c r="M812" i="26" s="1"/>
  <c r="M813" i="26" s="1"/>
  <c r="M814" i="26" s="1"/>
  <c r="M815" i="26" s="1"/>
  <c r="H633" i="26"/>
  <c r="L629" i="26"/>
  <c r="L628" i="26"/>
  <c r="L627" i="26"/>
  <c r="L626" i="26"/>
  <c r="L625" i="26"/>
  <c r="L624" i="26"/>
  <c r="L623" i="26"/>
  <c r="L622" i="26"/>
  <c r="L621" i="26"/>
  <c r="L620" i="26"/>
  <c r="L619" i="26"/>
  <c r="L618" i="26"/>
  <c r="L617" i="26"/>
  <c r="L616" i="26"/>
  <c r="L615" i="26"/>
  <c r="L614" i="26"/>
  <c r="L613" i="26"/>
  <c r="L612" i="26"/>
  <c r="L611" i="26"/>
  <c r="L610" i="26"/>
  <c r="L609" i="26"/>
  <c r="L608" i="26"/>
  <c r="L607" i="26"/>
  <c r="L606" i="26"/>
  <c r="L605" i="26"/>
  <c r="L604" i="26"/>
  <c r="L603" i="26"/>
  <c r="L602" i="26"/>
  <c r="L601" i="26"/>
  <c r="L600" i="26"/>
  <c r="L599" i="26"/>
  <c r="L598" i="26"/>
  <c r="L597" i="26"/>
  <c r="L596" i="26"/>
  <c r="L595" i="26"/>
  <c r="L594" i="26"/>
  <c r="L593" i="26"/>
  <c r="L592" i="26"/>
  <c r="L591" i="26"/>
  <c r="L590" i="26"/>
  <c r="L589" i="26"/>
  <c r="L588" i="26"/>
  <c r="L587" i="26"/>
  <c r="L586" i="26"/>
  <c r="L585" i="26"/>
  <c r="L584" i="26"/>
  <c r="L583" i="26"/>
  <c r="L582" i="26"/>
  <c r="L581" i="26"/>
  <c r="L580" i="26"/>
  <c r="L579" i="26"/>
  <c r="L578" i="26"/>
  <c r="L577" i="26"/>
  <c r="L576" i="26"/>
  <c r="L575" i="26"/>
  <c r="L574" i="26"/>
  <c r="L573" i="26"/>
  <c r="L572" i="26"/>
  <c r="L571" i="26"/>
  <c r="L570" i="26"/>
  <c r="L569" i="26"/>
  <c r="L568" i="26"/>
  <c r="L567" i="26"/>
  <c r="L566" i="26"/>
  <c r="L565" i="26"/>
  <c r="L564" i="26"/>
  <c r="L563" i="26"/>
  <c r="L562" i="26"/>
  <c r="L561" i="26"/>
  <c r="L560" i="26"/>
  <c r="L559" i="26"/>
  <c r="L558" i="26"/>
  <c r="L557" i="26"/>
  <c r="L556" i="26"/>
  <c r="L555" i="26"/>
  <c r="L554" i="26"/>
  <c r="L553" i="26"/>
  <c r="L552" i="26"/>
  <c r="L551" i="26"/>
  <c r="L550" i="26"/>
  <c r="L549" i="26"/>
  <c r="L548" i="26"/>
  <c r="L547" i="26"/>
  <c r="L546" i="26"/>
  <c r="L545" i="26"/>
  <c r="L544" i="26"/>
  <c r="L543" i="26"/>
  <c r="L542" i="26"/>
  <c r="L541" i="26"/>
  <c r="L540" i="26"/>
  <c r="L539" i="26"/>
  <c r="L538" i="26"/>
  <c r="L537" i="26"/>
  <c r="L536" i="26"/>
  <c r="L535" i="26"/>
  <c r="L534" i="26"/>
  <c r="L533" i="26"/>
  <c r="L532" i="26"/>
  <c r="L531" i="26"/>
  <c r="L530" i="26"/>
  <c r="L529" i="26"/>
  <c r="L528" i="26"/>
  <c r="L527" i="26"/>
  <c r="L526" i="26"/>
  <c r="L525" i="26"/>
  <c r="L524" i="26"/>
  <c r="L523" i="26"/>
  <c r="L522" i="26"/>
  <c r="L521" i="26"/>
  <c r="L520" i="26"/>
  <c r="L519" i="26"/>
  <c r="L518" i="26"/>
  <c r="L517" i="26"/>
  <c r="L516" i="26"/>
  <c r="L515" i="26"/>
  <c r="L514" i="26"/>
  <c r="L513" i="26"/>
  <c r="L512" i="26"/>
  <c r="L511" i="26"/>
  <c r="L510" i="26"/>
  <c r="L509" i="26"/>
  <c r="L508" i="26"/>
  <c r="L507" i="26"/>
  <c r="L506" i="26"/>
  <c r="L505" i="26"/>
  <c r="L504" i="26"/>
  <c r="L503" i="26"/>
  <c r="L502" i="26"/>
  <c r="L501" i="26"/>
  <c r="L500" i="26"/>
  <c r="L499" i="26"/>
  <c r="L498" i="26"/>
  <c r="L497" i="26"/>
  <c r="L496" i="26"/>
  <c r="L495" i="26"/>
  <c r="L494" i="26"/>
  <c r="L493" i="26"/>
  <c r="L492" i="26"/>
  <c r="L491" i="26"/>
  <c r="L490" i="26"/>
  <c r="L489" i="26"/>
  <c r="L488" i="26"/>
  <c r="L487" i="26"/>
  <c r="L486" i="26"/>
  <c r="L485" i="26"/>
  <c r="L484" i="26"/>
  <c r="L483" i="26"/>
  <c r="L482" i="26"/>
  <c r="L481" i="26"/>
  <c r="L480" i="26"/>
  <c r="L479" i="26"/>
  <c r="L478" i="26"/>
  <c r="L477" i="26"/>
  <c r="L476" i="26"/>
  <c r="L475" i="26"/>
  <c r="L474" i="26"/>
  <c r="L473" i="26"/>
  <c r="L472" i="26"/>
  <c r="L471" i="26"/>
  <c r="L470" i="26"/>
  <c r="L469" i="26"/>
  <c r="L468" i="26"/>
  <c r="L467" i="26"/>
  <c r="L466" i="26"/>
  <c r="L465" i="26"/>
  <c r="L464" i="26"/>
  <c r="L463" i="26"/>
  <c r="L462" i="26"/>
  <c r="L461" i="26"/>
  <c r="K461" i="26" s="1"/>
  <c r="L460" i="26"/>
  <c r="K460" i="26" s="1"/>
  <c r="L459" i="26"/>
  <c r="K459" i="26" s="1"/>
  <c r="L458" i="26"/>
  <c r="K458" i="26" s="1"/>
  <c r="L457" i="26"/>
  <c r="K457" i="26" s="1"/>
  <c r="L456" i="26"/>
  <c r="K456" i="26" s="1"/>
  <c r="L455" i="26"/>
  <c r="K455" i="26" s="1"/>
  <c r="L454" i="26"/>
  <c r="K454" i="26" s="1"/>
  <c r="L453" i="26"/>
  <c r="K453" i="26" s="1"/>
  <c r="L452" i="26"/>
  <c r="K452" i="26" s="1"/>
  <c r="L451" i="26"/>
  <c r="K451" i="26" s="1"/>
  <c r="M450" i="26"/>
  <c r="M451" i="26" s="1"/>
  <c r="M452" i="26" s="1"/>
  <c r="M453" i="26" s="1"/>
  <c r="M454" i="26" s="1"/>
  <c r="M455" i="26" s="1"/>
  <c r="M456" i="26" s="1"/>
  <c r="M457" i="26" s="1"/>
  <c r="M458" i="26" s="1"/>
  <c r="M459" i="26" s="1"/>
  <c r="M460" i="26" s="1"/>
  <c r="M461" i="26" s="1"/>
  <c r="M462" i="26" s="1"/>
  <c r="M463" i="26" s="1"/>
  <c r="M464" i="26" s="1"/>
  <c r="M465" i="26" s="1"/>
  <c r="M466" i="26" s="1"/>
  <c r="M467" i="26" s="1"/>
  <c r="M468" i="26" s="1"/>
  <c r="M469" i="26" s="1"/>
  <c r="M470" i="26" s="1"/>
  <c r="M471" i="26" s="1"/>
  <c r="M472" i="26" s="1"/>
  <c r="M473" i="26" s="1"/>
  <c r="M474" i="26" s="1"/>
  <c r="M475" i="26" s="1"/>
  <c r="M476" i="26" s="1"/>
  <c r="M477" i="26" s="1"/>
  <c r="M478" i="26" s="1"/>
  <c r="M479" i="26" s="1"/>
  <c r="M480" i="26" s="1"/>
  <c r="M481" i="26" s="1"/>
  <c r="M482" i="26" s="1"/>
  <c r="M483" i="26" s="1"/>
  <c r="M484" i="26" s="1"/>
  <c r="M485" i="26" s="1"/>
  <c r="M486" i="26" s="1"/>
  <c r="M487" i="26" s="1"/>
  <c r="M488" i="26" s="1"/>
  <c r="M489" i="26" s="1"/>
  <c r="M490" i="26" s="1"/>
  <c r="M491" i="26" s="1"/>
  <c r="M492" i="26" s="1"/>
  <c r="M493" i="26" s="1"/>
  <c r="M494" i="26" s="1"/>
  <c r="M495" i="26" s="1"/>
  <c r="M496" i="26" s="1"/>
  <c r="M497" i="26" s="1"/>
  <c r="M498" i="26" s="1"/>
  <c r="M499" i="26" s="1"/>
  <c r="M500" i="26" s="1"/>
  <c r="M501" i="26" s="1"/>
  <c r="M502" i="26" s="1"/>
  <c r="M503" i="26" s="1"/>
  <c r="M504" i="26" s="1"/>
  <c r="M505" i="26" s="1"/>
  <c r="M506" i="26" s="1"/>
  <c r="M507" i="26" s="1"/>
  <c r="M508" i="26" s="1"/>
  <c r="M509" i="26" s="1"/>
  <c r="M510" i="26" s="1"/>
  <c r="M511" i="26" s="1"/>
  <c r="M512" i="26" s="1"/>
  <c r="M513" i="26" s="1"/>
  <c r="M514" i="26" s="1"/>
  <c r="M515" i="26" s="1"/>
  <c r="M516" i="26" s="1"/>
  <c r="M517" i="26" s="1"/>
  <c r="M518" i="26" s="1"/>
  <c r="M519" i="26" s="1"/>
  <c r="M520" i="26" s="1"/>
  <c r="M521" i="26" s="1"/>
  <c r="M522" i="26" s="1"/>
  <c r="M523" i="26" s="1"/>
  <c r="M524" i="26" s="1"/>
  <c r="M525" i="26" s="1"/>
  <c r="M526" i="26" s="1"/>
  <c r="M527" i="26" s="1"/>
  <c r="M528" i="26" s="1"/>
  <c r="M529" i="26" s="1"/>
  <c r="M530" i="26" s="1"/>
  <c r="M531" i="26" s="1"/>
  <c r="M532" i="26" s="1"/>
  <c r="M533" i="26" s="1"/>
  <c r="M534" i="26" s="1"/>
  <c r="M535" i="26" s="1"/>
  <c r="M536" i="26" s="1"/>
  <c r="M537" i="26" s="1"/>
  <c r="M538" i="26" s="1"/>
  <c r="M539" i="26" s="1"/>
  <c r="M540" i="26" s="1"/>
  <c r="M541" i="26" s="1"/>
  <c r="M542" i="26" s="1"/>
  <c r="M543" i="26" s="1"/>
  <c r="M544" i="26" s="1"/>
  <c r="M545" i="26" s="1"/>
  <c r="M546" i="26" s="1"/>
  <c r="M547" i="26" s="1"/>
  <c r="M548" i="26" s="1"/>
  <c r="M549" i="26" s="1"/>
  <c r="M550" i="26" s="1"/>
  <c r="M551" i="26" s="1"/>
  <c r="M552" i="26" s="1"/>
  <c r="M553" i="26" s="1"/>
  <c r="M554" i="26" s="1"/>
  <c r="M555" i="26" s="1"/>
  <c r="M556" i="26" s="1"/>
  <c r="M557" i="26" s="1"/>
  <c r="M558" i="26" s="1"/>
  <c r="M559" i="26" s="1"/>
  <c r="M560" i="26" s="1"/>
  <c r="M561" i="26" s="1"/>
  <c r="M562" i="26" s="1"/>
  <c r="M563" i="26" s="1"/>
  <c r="M564" i="26" s="1"/>
  <c r="M565" i="26" s="1"/>
  <c r="M566" i="26" s="1"/>
  <c r="M567" i="26" s="1"/>
  <c r="M568" i="26" s="1"/>
  <c r="M569" i="26" s="1"/>
  <c r="M570" i="26" s="1"/>
  <c r="M571" i="26" s="1"/>
  <c r="M572" i="26" s="1"/>
  <c r="M573" i="26" s="1"/>
  <c r="M574" i="26" s="1"/>
  <c r="M575" i="26" s="1"/>
  <c r="M576" i="26" s="1"/>
  <c r="M577" i="26" s="1"/>
  <c r="M578" i="26" s="1"/>
  <c r="M579" i="26" s="1"/>
  <c r="M580" i="26" s="1"/>
  <c r="M581" i="26" s="1"/>
  <c r="M582" i="26" s="1"/>
  <c r="M583" i="26" s="1"/>
  <c r="M584" i="26" s="1"/>
  <c r="M585" i="26" s="1"/>
  <c r="M586" i="26" s="1"/>
  <c r="M587" i="26" s="1"/>
  <c r="M588" i="26" s="1"/>
  <c r="M589" i="26" s="1"/>
  <c r="M590" i="26" s="1"/>
  <c r="M591" i="26" s="1"/>
  <c r="M592" i="26" s="1"/>
  <c r="M593" i="26" s="1"/>
  <c r="M594" i="26" s="1"/>
  <c r="M595" i="26" s="1"/>
  <c r="M596" i="26" s="1"/>
  <c r="M597" i="26" s="1"/>
  <c r="M598" i="26" s="1"/>
  <c r="M599" i="26" s="1"/>
  <c r="M600" i="26" s="1"/>
  <c r="M601" i="26" s="1"/>
  <c r="M602" i="26" s="1"/>
  <c r="M603" i="26" s="1"/>
  <c r="M604" i="26" s="1"/>
  <c r="M605" i="26" s="1"/>
  <c r="M606" i="26" s="1"/>
  <c r="M607" i="26" s="1"/>
  <c r="M608" i="26" s="1"/>
  <c r="M609" i="26" s="1"/>
  <c r="M610" i="26" s="1"/>
  <c r="M611" i="26" s="1"/>
  <c r="M612" i="26" s="1"/>
  <c r="M613" i="26" s="1"/>
  <c r="M614" i="26" s="1"/>
  <c r="M615" i="26" s="1"/>
  <c r="M616" i="26" s="1"/>
  <c r="M617" i="26" s="1"/>
  <c r="M618" i="26" s="1"/>
  <c r="M619" i="26" s="1"/>
  <c r="M620" i="26" s="1"/>
  <c r="M621" i="26" s="1"/>
  <c r="M622" i="26" s="1"/>
  <c r="M623" i="26" s="1"/>
  <c r="M624" i="26" s="1"/>
  <c r="M625" i="26" s="1"/>
  <c r="M626" i="26" s="1"/>
  <c r="M627" i="26" s="1"/>
  <c r="M628" i="26" s="1"/>
  <c r="M629" i="26" s="1"/>
  <c r="L450" i="26"/>
  <c r="K450" i="26" s="1"/>
  <c r="E650" i="26" l="1"/>
  <c r="E651" i="26"/>
  <c r="E664" i="26"/>
  <c r="E666" i="26"/>
  <c r="E695" i="26"/>
  <c r="E696" i="26"/>
  <c r="E697" i="26"/>
  <c r="E698" i="26"/>
  <c r="E699" i="26"/>
  <c r="E812" i="26"/>
  <c r="E813" i="26"/>
  <c r="E814" i="26"/>
  <c r="E815" i="26"/>
  <c r="E713" i="26"/>
  <c r="E715" i="26"/>
  <c r="E716" i="26"/>
  <c r="E717" i="26"/>
  <c r="E745" i="26"/>
  <c r="E746" i="26"/>
  <c r="E747" i="26"/>
  <c r="E762" i="26"/>
  <c r="E763" i="26"/>
  <c r="E637" i="26"/>
  <c r="E764" i="26"/>
  <c r="E641" i="26"/>
  <c r="E765" i="26"/>
  <c r="E643" i="26"/>
  <c r="E766" i="26"/>
  <c r="E649" i="26"/>
  <c r="E797" i="26"/>
  <c r="E811" i="26"/>
  <c r="E785" i="26"/>
  <c r="E761" i="26"/>
  <c r="E737" i="26"/>
  <c r="E712" i="26"/>
  <c r="E688" i="26"/>
  <c r="E663" i="26"/>
  <c r="E810" i="26"/>
  <c r="E784" i="26"/>
  <c r="E760" i="26"/>
  <c r="E735" i="26"/>
  <c r="E711" i="26"/>
  <c r="E686" i="26"/>
  <c r="E662" i="26"/>
  <c r="E809" i="26"/>
  <c r="E783" i="26"/>
  <c r="E759" i="26"/>
  <c r="E734" i="26"/>
  <c r="E710" i="26"/>
  <c r="E685" i="26"/>
  <c r="E661" i="26"/>
  <c r="E808" i="26"/>
  <c r="E782" i="26"/>
  <c r="E757" i="26"/>
  <c r="E733" i="26"/>
  <c r="E708" i="26"/>
  <c r="E684" i="26"/>
  <c r="E660" i="26"/>
  <c r="E807" i="26"/>
  <c r="E781" i="26"/>
  <c r="E756" i="26"/>
  <c r="E732" i="26"/>
  <c r="E707" i="26"/>
  <c r="E683" i="26"/>
  <c r="E659" i="26"/>
  <c r="E806" i="26"/>
  <c r="E779" i="26"/>
  <c r="E755" i="26"/>
  <c r="E730" i="26"/>
  <c r="E706" i="26"/>
  <c r="E682" i="26"/>
  <c r="E658" i="26"/>
  <c r="E805" i="26"/>
  <c r="E778" i="26"/>
  <c r="E754" i="26"/>
  <c r="E729" i="26"/>
  <c r="E705" i="26"/>
  <c r="E681" i="26"/>
  <c r="E657" i="26"/>
  <c r="E804" i="26"/>
  <c r="E777" i="26"/>
  <c r="E752" i="26"/>
  <c r="E728" i="26"/>
  <c r="E704" i="26"/>
  <c r="E680" i="26"/>
  <c r="E656" i="26"/>
  <c r="E803" i="26"/>
  <c r="E776" i="26"/>
  <c r="E751" i="26"/>
  <c r="E727" i="26"/>
  <c r="E703" i="26"/>
  <c r="E679" i="26"/>
  <c r="E655" i="26"/>
  <c r="E800" i="26"/>
  <c r="E774" i="26"/>
  <c r="E750" i="26"/>
  <c r="E726" i="26"/>
  <c r="E702" i="26"/>
  <c r="E678" i="26"/>
  <c r="E654" i="26"/>
  <c r="E799" i="26"/>
  <c r="E773" i="26"/>
  <c r="E749" i="26"/>
  <c r="E725" i="26"/>
  <c r="E701" i="26"/>
  <c r="E677" i="26"/>
  <c r="E653" i="26"/>
  <c r="E798" i="26"/>
  <c r="E772" i="26"/>
  <c r="E748" i="26"/>
  <c r="E724" i="26"/>
  <c r="E700" i="26"/>
  <c r="E676" i="26"/>
  <c r="E652" i="26"/>
  <c r="E795" i="26"/>
  <c r="E667" i="26"/>
  <c r="E718" i="26"/>
  <c r="E768" i="26"/>
  <c r="E668" i="26"/>
  <c r="E719" i="26"/>
  <c r="E769" i="26"/>
  <c r="E669" i="26"/>
  <c r="E720" i="26"/>
  <c r="E770" i="26"/>
  <c r="E671" i="26"/>
  <c r="E721" i="26"/>
  <c r="E771" i="26"/>
  <c r="E672" i="26"/>
  <c r="E722" i="26"/>
  <c r="E786" i="26"/>
  <c r="E673" i="26"/>
  <c r="E723" i="26"/>
  <c r="E787" i="26"/>
  <c r="E674" i="26"/>
  <c r="E738" i="26"/>
  <c r="E788" i="26"/>
  <c r="E675" i="26"/>
  <c r="E739" i="26"/>
  <c r="E789" i="26"/>
  <c r="E689" i="26"/>
  <c r="E740" i="26"/>
  <c r="E790" i="26"/>
  <c r="E690" i="26"/>
  <c r="E741" i="26"/>
  <c r="E791" i="26"/>
  <c r="E691" i="26"/>
  <c r="E742" i="26"/>
  <c r="E792" i="26"/>
  <c r="E693" i="26"/>
  <c r="E743" i="26"/>
  <c r="E793" i="26"/>
  <c r="E694" i="26"/>
  <c r="E744" i="26"/>
  <c r="E794" i="26"/>
  <c r="E801" i="26"/>
  <c r="E648" i="26"/>
  <c r="E670" i="26"/>
  <c r="E692" i="26"/>
  <c r="E714" i="26"/>
  <c r="E736" i="26"/>
  <c r="E758" i="26"/>
  <c r="E780" i="26"/>
  <c r="E802" i="26"/>
  <c r="E796" i="26"/>
  <c r="E665" i="26"/>
  <c r="E687" i="26"/>
  <c r="E709" i="26"/>
  <c r="E731" i="26"/>
  <c r="E753" i="26"/>
  <c r="E775" i="26"/>
  <c r="E647" i="26"/>
  <c r="E646" i="26"/>
  <c r="K636" i="26"/>
  <c r="D636" i="26" s="1"/>
  <c r="E636" i="26"/>
  <c r="E639" i="26"/>
  <c r="E644" i="26"/>
  <c r="E645" i="26"/>
  <c r="E638" i="26"/>
  <c r="E640" i="26"/>
  <c r="E642" i="26"/>
  <c r="K462" i="26"/>
  <c r="G9" i="29"/>
  <c r="G11" i="29" s="1"/>
  <c r="K637" i="26"/>
  <c r="D637" i="26" s="1"/>
  <c r="L428" i="27"/>
  <c r="E428" i="27" s="1"/>
  <c r="L249" i="27"/>
  <c r="L250" i="27"/>
  <c r="L251" i="27"/>
  <c r="L252" i="27"/>
  <c r="L253" i="27"/>
  <c r="L254" i="27"/>
  <c r="L255" i="27"/>
  <c r="L256" i="27"/>
  <c r="L257" i="27"/>
  <c r="L258" i="27"/>
  <c r="L259" i="27"/>
  <c r="L260" i="27"/>
  <c r="L261" i="27"/>
  <c r="E261" i="27" s="1"/>
  <c r="L262" i="27"/>
  <c r="E262" i="27" s="1"/>
  <c r="L263" i="27"/>
  <c r="E263" i="27" s="1"/>
  <c r="L264" i="27"/>
  <c r="E264" i="27" s="1"/>
  <c r="L265" i="27"/>
  <c r="E265" i="27" s="1"/>
  <c r="L266" i="27"/>
  <c r="E266" i="27" s="1"/>
  <c r="L267" i="27"/>
  <c r="E267" i="27" s="1"/>
  <c r="L268" i="27"/>
  <c r="E268" i="27" s="1"/>
  <c r="L269" i="27"/>
  <c r="E269" i="27" s="1"/>
  <c r="L270" i="27"/>
  <c r="E270" i="27" s="1"/>
  <c r="L271" i="27"/>
  <c r="E271" i="27" s="1"/>
  <c r="L272" i="27"/>
  <c r="E272" i="27" s="1"/>
  <c r="L273" i="27"/>
  <c r="E273" i="27" s="1"/>
  <c r="L274" i="27"/>
  <c r="E274" i="27" s="1"/>
  <c r="L275" i="27"/>
  <c r="E275" i="27" s="1"/>
  <c r="L276" i="27"/>
  <c r="E276" i="27" s="1"/>
  <c r="L277" i="27"/>
  <c r="E277" i="27" s="1"/>
  <c r="L278" i="27"/>
  <c r="E278" i="27" s="1"/>
  <c r="L279" i="27"/>
  <c r="E279" i="27" s="1"/>
  <c r="L280" i="27"/>
  <c r="E280" i="27" s="1"/>
  <c r="L281" i="27"/>
  <c r="E281" i="27" s="1"/>
  <c r="L282" i="27"/>
  <c r="E282" i="27" s="1"/>
  <c r="L283" i="27"/>
  <c r="E283" i="27" s="1"/>
  <c r="L284" i="27"/>
  <c r="E284" i="27" s="1"/>
  <c r="L285" i="27"/>
  <c r="E285" i="27" s="1"/>
  <c r="L286" i="27"/>
  <c r="E286" i="27" s="1"/>
  <c r="L287" i="27"/>
  <c r="E287" i="27" s="1"/>
  <c r="L288" i="27"/>
  <c r="E288" i="27" s="1"/>
  <c r="L289" i="27"/>
  <c r="E289" i="27" s="1"/>
  <c r="L290" i="27"/>
  <c r="E290" i="27" s="1"/>
  <c r="L291" i="27"/>
  <c r="E291" i="27" s="1"/>
  <c r="L292" i="27"/>
  <c r="E292" i="27" s="1"/>
  <c r="L293" i="27"/>
  <c r="E293" i="27" s="1"/>
  <c r="L294" i="27"/>
  <c r="E294" i="27" s="1"/>
  <c r="L295" i="27"/>
  <c r="E295" i="27" s="1"/>
  <c r="L296" i="27"/>
  <c r="E296" i="27" s="1"/>
  <c r="L297" i="27"/>
  <c r="E297" i="27" s="1"/>
  <c r="L298" i="27"/>
  <c r="E298" i="27" s="1"/>
  <c r="L299" i="27"/>
  <c r="E299" i="27" s="1"/>
  <c r="L300" i="27"/>
  <c r="E300" i="27" s="1"/>
  <c r="L301" i="27"/>
  <c r="E301" i="27" s="1"/>
  <c r="L302" i="27"/>
  <c r="E302" i="27" s="1"/>
  <c r="L303" i="27"/>
  <c r="E303" i="27" s="1"/>
  <c r="L304" i="27"/>
  <c r="E304" i="27" s="1"/>
  <c r="L305" i="27"/>
  <c r="E305" i="27" s="1"/>
  <c r="L306" i="27"/>
  <c r="E306" i="27" s="1"/>
  <c r="L307" i="27"/>
  <c r="E307" i="27" s="1"/>
  <c r="L308" i="27"/>
  <c r="E308" i="27" s="1"/>
  <c r="L309" i="27"/>
  <c r="E309" i="27" s="1"/>
  <c r="L310" i="27"/>
  <c r="E310" i="27" s="1"/>
  <c r="L311" i="27"/>
  <c r="E311" i="27" s="1"/>
  <c r="L312" i="27"/>
  <c r="E312" i="27" s="1"/>
  <c r="L313" i="27"/>
  <c r="E313" i="27" s="1"/>
  <c r="L314" i="27"/>
  <c r="E314" i="27" s="1"/>
  <c r="L315" i="27"/>
  <c r="E315" i="27" s="1"/>
  <c r="L316" i="27"/>
  <c r="E316" i="27" s="1"/>
  <c r="L317" i="27"/>
  <c r="E317" i="27" s="1"/>
  <c r="L318" i="27"/>
  <c r="E318" i="27" s="1"/>
  <c r="L319" i="27"/>
  <c r="E319" i="27" s="1"/>
  <c r="L320" i="27"/>
  <c r="E320" i="27" s="1"/>
  <c r="L321" i="27"/>
  <c r="E321" i="27" s="1"/>
  <c r="L322" i="27"/>
  <c r="E322" i="27" s="1"/>
  <c r="L323" i="27"/>
  <c r="E323" i="27" s="1"/>
  <c r="L324" i="27"/>
  <c r="E324" i="27" s="1"/>
  <c r="L325" i="27"/>
  <c r="E325" i="27" s="1"/>
  <c r="L326" i="27"/>
  <c r="E326" i="27" s="1"/>
  <c r="L327" i="27"/>
  <c r="E327" i="27" s="1"/>
  <c r="L328" i="27"/>
  <c r="E328" i="27" s="1"/>
  <c r="L329" i="27"/>
  <c r="E329" i="27" s="1"/>
  <c r="L330" i="27"/>
  <c r="E330" i="27" s="1"/>
  <c r="L331" i="27"/>
  <c r="E331" i="27" s="1"/>
  <c r="L332" i="27"/>
  <c r="E332" i="27" s="1"/>
  <c r="L333" i="27"/>
  <c r="E333" i="27" s="1"/>
  <c r="L334" i="27"/>
  <c r="E334" i="27" s="1"/>
  <c r="L335" i="27"/>
  <c r="E335" i="27" s="1"/>
  <c r="L336" i="27"/>
  <c r="E336" i="27" s="1"/>
  <c r="L337" i="27"/>
  <c r="E337" i="27" s="1"/>
  <c r="L338" i="27"/>
  <c r="E338" i="27" s="1"/>
  <c r="L339" i="27"/>
  <c r="E339" i="27" s="1"/>
  <c r="L340" i="27"/>
  <c r="E340" i="27" s="1"/>
  <c r="L341" i="27"/>
  <c r="E341" i="27" s="1"/>
  <c r="L342" i="27"/>
  <c r="E342" i="27" s="1"/>
  <c r="L343" i="27"/>
  <c r="E343" i="27" s="1"/>
  <c r="L344" i="27"/>
  <c r="E344" i="27" s="1"/>
  <c r="L345" i="27"/>
  <c r="E345" i="27" s="1"/>
  <c r="L346" i="27"/>
  <c r="E346" i="27" s="1"/>
  <c r="L347" i="27"/>
  <c r="E347" i="27" s="1"/>
  <c r="L348" i="27"/>
  <c r="E348" i="27" s="1"/>
  <c r="L349" i="27"/>
  <c r="E349" i="27" s="1"/>
  <c r="L350" i="27"/>
  <c r="E350" i="27" s="1"/>
  <c r="L351" i="27"/>
  <c r="E351" i="27" s="1"/>
  <c r="L352" i="27"/>
  <c r="E352" i="27" s="1"/>
  <c r="L353" i="27"/>
  <c r="E353" i="27" s="1"/>
  <c r="L354" i="27"/>
  <c r="E354" i="27" s="1"/>
  <c r="L355" i="27"/>
  <c r="E355" i="27" s="1"/>
  <c r="L356" i="27"/>
  <c r="E356" i="27" s="1"/>
  <c r="L357" i="27"/>
  <c r="E357" i="27" s="1"/>
  <c r="L358" i="27"/>
  <c r="E358" i="27" s="1"/>
  <c r="L359" i="27"/>
  <c r="E359" i="27" s="1"/>
  <c r="L360" i="27"/>
  <c r="E360" i="27" s="1"/>
  <c r="L361" i="27"/>
  <c r="E361" i="27" s="1"/>
  <c r="L362" i="27"/>
  <c r="E362" i="27" s="1"/>
  <c r="L363" i="27"/>
  <c r="E363" i="27" s="1"/>
  <c r="L364" i="27"/>
  <c r="E364" i="27" s="1"/>
  <c r="L365" i="27"/>
  <c r="E365" i="27" s="1"/>
  <c r="L366" i="27"/>
  <c r="E366" i="27" s="1"/>
  <c r="L367" i="27"/>
  <c r="E367" i="27" s="1"/>
  <c r="L368" i="27"/>
  <c r="E368" i="27" s="1"/>
  <c r="L369" i="27"/>
  <c r="E369" i="27" s="1"/>
  <c r="L370" i="27"/>
  <c r="E370" i="27" s="1"/>
  <c r="L371" i="27"/>
  <c r="E371" i="27" s="1"/>
  <c r="L372" i="27"/>
  <c r="E372" i="27" s="1"/>
  <c r="L373" i="27"/>
  <c r="E373" i="27" s="1"/>
  <c r="L374" i="27"/>
  <c r="E374" i="27" s="1"/>
  <c r="L375" i="27"/>
  <c r="E375" i="27" s="1"/>
  <c r="L376" i="27"/>
  <c r="E376" i="27" s="1"/>
  <c r="L377" i="27"/>
  <c r="E377" i="27" s="1"/>
  <c r="L378" i="27"/>
  <c r="E378" i="27" s="1"/>
  <c r="L379" i="27"/>
  <c r="E379" i="27" s="1"/>
  <c r="L380" i="27"/>
  <c r="E380" i="27" s="1"/>
  <c r="L381" i="27"/>
  <c r="E381" i="27" s="1"/>
  <c r="L382" i="27"/>
  <c r="E382" i="27" s="1"/>
  <c r="L383" i="27"/>
  <c r="E383" i="27" s="1"/>
  <c r="L384" i="27"/>
  <c r="E384" i="27" s="1"/>
  <c r="L385" i="27"/>
  <c r="E385" i="27" s="1"/>
  <c r="L386" i="27"/>
  <c r="E386" i="27" s="1"/>
  <c r="L387" i="27"/>
  <c r="E387" i="27" s="1"/>
  <c r="L388" i="27"/>
  <c r="E388" i="27" s="1"/>
  <c r="L389" i="27"/>
  <c r="E389" i="27" s="1"/>
  <c r="L390" i="27"/>
  <c r="E390" i="27" s="1"/>
  <c r="L391" i="27"/>
  <c r="E391" i="27" s="1"/>
  <c r="L392" i="27"/>
  <c r="E392" i="27" s="1"/>
  <c r="L393" i="27"/>
  <c r="E393" i="27" s="1"/>
  <c r="L394" i="27"/>
  <c r="E394" i="27" s="1"/>
  <c r="L395" i="27"/>
  <c r="E395" i="27" s="1"/>
  <c r="L396" i="27"/>
  <c r="E396" i="27" s="1"/>
  <c r="L397" i="27"/>
  <c r="E397" i="27" s="1"/>
  <c r="L398" i="27"/>
  <c r="E398" i="27" s="1"/>
  <c r="L399" i="27"/>
  <c r="E399" i="27" s="1"/>
  <c r="L400" i="27"/>
  <c r="E400" i="27" s="1"/>
  <c r="L401" i="27"/>
  <c r="E401" i="27" s="1"/>
  <c r="L402" i="27"/>
  <c r="E402" i="27" s="1"/>
  <c r="L403" i="27"/>
  <c r="E403" i="27" s="1"/>
  <c r="L404" i="27"/>
  <c r="E404" i="27" s="1"/>
  <c r="L405" i="27"/>
  <c r="E405" i="27" s="1"/>
  <c r="L406" i="27"/>
  <c r="E406" i="27" s="1"/>
  <c r="L407" i="27"/>
  <c r="E407" i="27" s="1"/>
  <c r="L408" i="27"/>
  <c r="E408" i="27" s="1"/>
  <c r="L409" i="27"/>
  <c r="E409" i="27" s="1"/>
  <c r="L410" i="27"/>
  <c r="E410" i="27" s="1"/>
  <c r="L411" i="27"/>
  <c r="E411" i="27" s="1"/>
  <c r="L412" i="27"/>
  <c r="E412" i="27" s="1"/>
  <c r="L413" i="27"/>
  <c r="E413" i="27" s="1"/>
  <c r="L414" i="27"/>
  <c r="E414" i="27" s="1"/>
  <c r="L415" i="27"/>
  <c r="E415" i="27" s="1"/>
  <c r="L416" i="27"/>
  <c r="E416" i="27" s="1"/>
  <c r="L417" i="27"/>
  <c r="E417" i="27" s="1"/>
  <c r="L418" i="27"/>
  <c r="E418" i="27" s="1"/>
  <c r="L419" i="27"/>
  <c r="E419" i="27" s="1"/>
  <c r="L420" i="27"/>
  <c r="E420" i="27" s="1"/>
  <c r="L421" i="27"/>
  <c r="E421" i="27" s="1"/>
  <c r="L422" i="27"/>
  <c r="E422" i="27" s="1"/>
  <c r="L423" i="27"/>
  <c r="E423" i="27" s="1"/>
  <c r="L424" i="27"/>
  <c r="E424" i="27" s="1"/>
  <c r="L425" i="27"/>
  <c r="E425" i="27" s="1"/>
  <c r="L426" i="27"/>
  <c r="E426" i="27" s="1"/>
  <c r="L427" i="27"/>
  <c r="E427" i="27" s="1"/>
  <c r="M249" i="27"/>
  <c r="M250" i="27" s="1"/>
  <c r="M251" i="27" s="1"/>
  <c r="M252" i="27" s="1"/>
  <c r="M253" i="27" s="1"/>
  <c r="M254" i="27" s="1"/>
  <c r="M255" i="27" s="1"/>
  <c r="M256" i="27" s="1"/>
  <c r="M257" i="27" s="1"/>
  <c r="M258" i="27" s="1"/>
  <c r="M259" i="27" s="1"/>
  <c r="M260" i="27" s="1"/>
  <c r="M261" i="27" s="1"/>
  <c r="M262" i="27" s="1"/>
  <c r="M263" i="27" s="1"/>
  <c r="M264" i="27" s="1"/>
  <c r="M265" i="27" s="1"/>
  <c r="M266" i="27" s="1"/>
  <c r="M267" i="27" s="1"/>
  <c r="M268" i="27" s="1"/>
  <c r="M269" i="27" s="1"/>
  <c r="M270" i="27" s="1"/>
  <c r="M271" i="27" s="1"/>
  <c r="M272" i="27" s="1"/>
  <c r="M273" i="27" s="1"/>
  <c r="M274" i="27" s="1"/>
  <c r="M275" i="27" s="1"/>
  <c r="M276" i="27" s="1"/>
  <c r="M277" i="27" s="1"/>
  <c r="M278" i="27" s="1"/>
  <c r="M279" i="27" s="1"/>
  <c r="M280" i="27" s="1"/>
  <c r="M281" i="27" s="1"/>
  <c r="M282" i="27" s="1"/>
  <c r="M283" i="27" s="1"/>
  <c r="M284" i="27" s="1"/>
  <c r="M285" i="27" s="1"/>
  <c r="M286" i="27" s="1"/>
  <c r="M287" i="27" s="1"/>
  <c r="M288" i="27" s="1"/>
  <c r="M289" i="27" s="1"/>
  <c r="M290" i="27" s="1"/>
  <c r="M291" i="27" s="1"/>
  <c r="M292" i="27" s="1"/>
  <c r="M293" i="27" s="1"/>
  <c r="M294" i="27" s="1"/>
  <c r="M295" i="27" s="1"/>
  <c r="M296" i="27" s="1"/>
  <c r="M297" i="27" s="1"/>
  <c r="M298" i="27" s="1"/>
  <c r="M299" i="27" s="1"/>
  <c r="M300" i="27" s="1"/>
  <c r="M301" i="27" s="1"/>
  <c r="M302" i="27" s="1"/>
  <c r="M303" i="27" s="1"/>
  <c r="M304" i="27" s="1"/>
  <c r="M305" i="27" s="1"/>
  <c r="M306" i="27" s="1"/>
  <c r="M307" i="27" s="1"/>
  <c r="M308" i="27" s="1"/>
  <c r="M309" i="27" s="1"/>
  <c r="M310" i="27" s="1"/>
  <c r="M311" i="27" s="1"/>
  <c r="M312" i="27" s="1"/>
  <c r="M313" i="27" s="1"/>
  <c r="M314" i="27" s="1"/>
  <c r="M315" i="27" s="1"/>
  <c r="M316" i="27" s="1"/>
  <c r="M317" i="27" s="1"/>
  <c r="M318" i="27" s="1"/>
  <c r="M319" i="27" s="1"/>
  <c r="M320" i="27" s="1"/>
  <c r="M321" i="27" s="1"/>
  <c r="M322" i="27" s="1"/>
  <c r="M323" i="27" s="1"/>
  <c r="M324" i="27" s="1"/>
  <c r="M325" i="27" s="1"/>
  <c r="M326" i="27" s="1"/>
  <c r="M327" i="27" s="1"/>
  <c r="M328" i="27" s="1"/>
  <c r="M329" i="27" s="1"/>
  <c r="M330" i="27" s="1"/>
  <c r="M331" i="27" s="1"/>
  <c r="M332" i="27" s="1"/>
  <c r="M333" i="27" s="1"/>
  <c r="M334" i="27" s="1"/>
  <c r="M335" i="27" s="1"/>
  <c r="M336" i="27" s="1"/>
  <c r="M337" i="27" s="1"/>
  <c r="M338" i="27" s="1"/>
  <c r="M339" i="27" s="1"/>
  <c r="M340" i="27" s="1"/>
  <c r="M341" i="27" s="1"/>
  <c r="M342" i="27" s="1"/>
  <c r="M343" i="27" s="1"/>
  <c r="M344" i="27" s="1"/>
  <c r="M345" i="27" s="1"/>
  <c r="M346" i="27" s="1"/>
  <c r="M347" i="27" s="1"/>
  <c r="M348" i="27" s="1"/>
  <c r="M349" i="27" s="1"/>
  <c r="M350" i="27" s="1"/>
  <c r="M351" i="27" s="1"/>
  <c r="M352" i="27" s="1"/>
  <c r="M353" i="27" s="1"/>
  <c r="M354" i="27" s="1"/>
  <c r="M355" i="27" s="1"/>
  <c r="M356" i="27" s="1"/>
  <c r="M357" i="27" s="1"/>
  <c r="M358" i="27" s="1"/>
  <c r="M359" i="27" s="1"/>
  <c r="M360" i="27" s="1"/>
  <c r="M361" i="27" s="1"/>
  <c r="M362" i="27" s="1"/>
  <c r="M363" i="27" s="1"/>
  <c r="M364" i="27" s="1"/>
  <c r="M365" i="27" s="1"/>
  <c r="M366" i="27" s="1"/>
  <c r="M367" i="27" s="1"/>
  <c r="M368" i="27" s="1"/>
  <c r="M369" i="27" s="1"/>
  <c r="M370" i="27" s="1"/>
  <c r="M371" i="27" s="1"/>
  <c r="M372" i="27" s="1"/>
  <c r="M373" i="27" s="1"/>
  <c r="M374" i="27" s="1"/>
  <c r="M375" i="27" s="1"/>
  <c r="M376" i="27" s="1"/>
  <c r="M377" i="27" s="1"/>
  <c r="M378" i="27" s="1"/>
  <c r="M379" i="27" s="1"/>
  <c r="M380" i="27" s="1"/>
  <c r="M381" i="27" s="1"/>
  <c r="M382" i="27" s="1"/>
  <c r="M383" i="27" s="1"/>
  <c r="M384" i="27" s="1"/>
  <c r="M385" i="27" s="1"/>
  <c r="M386" i="27" s="1"/>
  <c r="M387" i="27" s="1"/>
  <c r="M388" i="27" s="1"/>
  <c r="M389" i="27" s="1"/>
  <c r="M390" i="27" s="1"/>
  <c r="M391" i="27" s="1"/>
  <c r="M392" i="27" s="1"/>
  <c r="M393" i="27" s="1"/>
  <c r="M394" i="27" s="1"/>
  <c r="M395" i="27" s="1"/>
  <c r="M396" i="27" s="1"/>
  <c r="M397" i="27" s="1"/>
  <c r="M398" i="27" s="1"/>
  <c r="M399" i="27" s="1"/>
  <c r="M400" i="27" s="1"/>
  <c r="M401" i="27" s="1"/>
  <c r="M402" i="27" s="1"/>
  <c r="M403" i="27" s="1"/>
  <c r="M404" i="27" s="1"/>
  <c r="M405" i="27" s="1"/>
  <c r="M406" i="27" s="1"/>
  <c r="M407" i="27" s="1"/>
  <c r="M408" i="27" s="1"/>
  <c r="M409" i="27" s="1"/>
  <c r="M410" i="27" s="1"/>
  <c r="M411" i="27" s="1"/>
  <c r="M412" i="27" s="1"/>
  <c r="M413" i="27" s="1"/>
  <c r="M414" i="27" s="1"/>
  <c r="M415" i="27" s="1"/>
  <c r="M416" i="27" s="1"/>
  <c r="M417" i="27" s="1"/>
  <c r="M418" i="27" s="1"/>
  <c r="M419" i="27" s="1"/>
  <c r="M420" i="27" s="1"/>
  <c r="M421" i="27" s="1"/>
  <c r="M422" i="27" s="1"/>
  <c r="M423" i="27" s="1"/>
  <c r="M424" i="27" s="1"/>
  <c r="M425" i="27" s="1"/>
  <c r="M426" i="27" s="1"/>
  <c r="M427" i="27" s="1"/>
  <c r="M428" i="27" s="1"/>
  <c r="D248" i="27"/>
  <c r="H246" i="27"/>
  <c r="L243" i="27"/>
  <c r="L242" i="27"/>
  <c r="L241" i="27"/>
  <c r="L240" i="27"/>
  <c r="L239" i="27"/>
  <c r="L238" i="27"/>
  <c r="L237" i="27"/>
  <c r="L236" i="27"/>
  <c r="L235" i="27"/>
  <c r="L234" i="27"/>
  <c r="L233" i="27"/>
  <c r="L232" i="27"/>
  <c r="L231" i="27"/>
  <c r="L230" i="27"/>
  <c r="L229" i="27"/>
  <c r="L228" i="27"/>
  <c r="L227" i="27"/>
  <c r="L226" i="27"/>
  <c r="L225" i="27"/>
  <c r="L224" i="27"/>
  <c r="L223" i="27"/>
  <c r="L222" i="27"/>
  <c r="L221" i="27"/>
  <c r="L220" i="27"/>
  <c r="L219" i="27"/>
  <c r="L218" i="27"/>
  <c r="L217" i="27"/>
  <c r="L216" i="27"/>
  <c r="L215" i="27"/>
  <c r="L214" i="27"/>
  <c r="L213" i="27"/>
  <c r="L212" i="27"/>
  <c r="L211" i="27"/>
  <c r="L210" i="27"/>
  <c r="L209" i="27"/>
  <c r="L208" i="27"/>
  <c r="L207" i="27"/>
  <c r="L206" i="27"/>
  <c r="L205" i="27"/>
  <c r="L204" i="27"/>
  <c r="L203" i="27"/>
  <c r="L202" i="27"/>
  <c r="L201" i="27"/>
  <c r="L200" i="27"/>
  <c r="L199" i="27"/>
  <c r="L198" i="27"/>
  <c r="L197" i="27"/>
  <c r="L196" i="27"/>
  <c r="L195" i="27"/>
  <c r="L194" i="27"/>
  <c r="L193" i="27"/>
  <c r="L192" i="27"/>
  <c r="L191" i="27"/>
  <c r="L190" i="27"/>
  <c r="L189" i="27"/>
  <c r="L188" i="27"/>
  <c r="L187" i="27"/>
  <c r="L186" i="27"/>
  <c r="L185" i="27"/>
  <c r="L184" i="27"/>
  <c r="L183" i="27"/>
  <c r="L182" i="27"/>
  <c r="L181" i="27"/>
  <c r="L180" i="27"/>
  <c r="L179" i="27"/>
  <c r="L178" i="27"/>
  <c r="L177" i="27"/>
  <c r="L176" i="27"/>
  <c r="L175" i="27"/>
  <c r="L174" i="27"/>
  <c r="L173" i="27"/>
  <c r="L172" i="27"/>
  <c r="L171" i="27"/>
  <c r="L170" i="27"/>
  <c r="L169" i="27"/>
  <c r="L168" i="27"/>
  <c r="L167" i="27"/>
  <c r="L166" i="27"/>
  <c r="L165" i="27"/>
  <c r="L164" i="27"/>
  <c r="L163" i="27"/>
  <c r="L162" i="27"/>
  <c r="L161" i="27"/>
  <c r="L160" i="27"/>
  <c r="L159" i="27"/>
  <c r="L158" i="27"/>
  <c r="L157" i="27"/>
  <c r="L156" i="27"/>
  <c r="L155" i="27"/>
  <c r="L154" i="27"/>
  <c r="L153" i="27"/>
  <c r="L152" i="27"/>
  <c r="L151" i="27"/>
  <c r="L150" i="27"/>
  <c r="L149" i="27"/>
  <c r="L148" i="27"/>
  <c r="L147" i="27"/>
  <c r="L146" i="27"/>
  <c r="L145" i="27"/>
  <c r="L144" i="27"/>
  <c r="L143" i="27"/>
  <c r="L142" i="27"/>
  <c r="L141" i="27"/>
  <c r="L140" i="27"/>
  <c r="L139" i="27"/>
  <c r="L138" i="27"/>
  <c r="L137" i="27"/>
  <c r="L136" i="27"/>
  <c r="L135" i="27"/>
  <c r="L134" i="27"/>
  <c r="L133" i="27"/>
  <c r="L132" i="27"/>
  <c r="L131" i="27"/>
  <c r="L130" i="27"/>
  <c r="L129" i="27"/>
  <c r="L128" i="27"/>
  <c r="L127" i="27"/>
  <c r="L126" i="27"/>
  <c r="L125" i="27"/>
  <c r="L124" i="27"/>
  <c r="L123" i="27"/>
  <c r="L122" i="27"/>
  <c r="L121" i="27"/>
  <c r="L120" i="27"/>
  <c r="L119" i="27"/>
  <c r="L118" i="27"/>
  <c r="L117" i="27"/>
  <c r="L116" i="27"/>
  <c r="L115" i="27"/>
  <c r="L114" i="27"/>
  <c r="L113" i="27"/>
  <c r="L112" i="27"/>
  <c r="L111" i="27"/>
  <c r="L110" i="27"/>
  <c r="L109" i="27"/>
  <c r="L108" i="27"/>
  <c r="L107" i="27"/>
  <c r="L106" i="27"/>
  <c r="L105" i="27"/>
  <c r="L104" i="27"/>
  <c r="L103" i="27"/>
  <c r="L102" i="27"/>
  <c r="L101" i="27"/>
  <c r="L100" i="27"/>
  <c r="L99" i="27"/>
  <c r="L98" i="27"/>
  <c r="L97" i="27"/>
  <c r="L96" i="27"/>
  <c r="L95" i="27"/>
  <c r="L94" i="27"/>
  <c r="L93" i="27"/>
  <c r="L92" i="27"/>
  <c r="L91" i="27"/>
  <c r="L90" i="27"/>
  <c r="L89" i="27"/>
  <c r="L88" i="27"/>
  <c r="L87" i="27"/>
  <c r="L86" i="27"/>
  <c r="L85" i="27"/>
  <c r="L84" i="27"/>
  <c r="L83" i="27"/>
  <c r="L82" i="27"/>
  <c r="L81" i="27"/>
  <c r="L80" i="27"/>
  <c r="L79" i="27"/>
  <c r="L78" i="27"/>
  <c r="L77" i="27"/>
  <c r="L76" i="27"/>
  <c r="L75" i="27"/>
  <c r="K75" i="27" s="1"/>
  <c r="L74" i="27"/>
  <c r="K74" i="27" s="1"/>
  <c r="L73" i="27"/>
  <c r="K73" i="27" s="1"/>
  <c r="L72" i="27"/>
  <c r="K72" i="27" s="1"/>
  <c r="L71" i="27"/>
  <c r="K71" i="27" s="1"/>
  <c r="L70" i="27"/>
  <c r="K70" i="27" s="1"/>
  <c r="L69" i="27"/>
  <c r="K69" i="27" s="1"/>
  <c r="L68" i="27"/>
  <c r="K68" i="27" s="1"/>
  <c r="L67" i="27"/>
  <c r="K67" i="27" s="1"/>
  <c r="L66" i="27"/>
  <c r="K66" i="27" s="1"/>
  <c r="L65" i="27"/>
  <c r="K65" i="27" s="1"/>
  <c r="M64" i="27"/>
  <c r="M65" i="27" s="1"/>
  <c r="M66" i="27" s="1"/>
  <c r="M67" i="27" s="1"/>
  <c r="M68" i="27" s="1"/>
  <c r="M69" i="27" s="1"/>
  <c r="M70" i="27" s="1"/>
  <c r="M71" i="27" s="1"/>
  <c r="M72" i="27" s="1"/>
  <c r="M73" i="27" s="1"/>
  <c r="M74" i="27" s="1"/>
  <c r="M75" i="27" s="1"/>
  <c r="M76" i="27" s="1"/>
  <c r="M77" i="27" s="1"/>
  <c r="M78" i="27" s="1"/>
  <c r="M79" i="27" s="1"/>
  <c r="M80" i="27" s="1"/>
  <c r="M81" i="27" s="1"/>
  <c r="M82" i="27" s="1"/>
  <c r="M83" i="27" s="1"/>
  <c r="M84" i="27" s="1"/>
  <c r="M85" i="27" s="1"/>
  <c r="M86" i="27" s="1"/>
  <c r="M87" i="27" s="1"/>
  <c r="M88" i="27" s="1"/>
  <c r="M89" i="27" s="1"/>
  <c r="M90" i="27" s="1"/>
  <c r="M91" i="27" s="1"/>
  <c r="M92" i="27" s="1"/>
  <c r="M93" i="27" s="1"/>
  <c r="M94" i="27" s="1"/>
  <c r="M95" i="27" s="1"/>
  <c r="M96" i="27" s="1"/>
  <c r="M97" i="27" s="1"/>
  <c r="M98" i="27" s="1"/>
  <c r="M99" i="27" s="1"/>
  <c r="M100" i="27" s="1"/>
  <c r="M101" i="27" s="1"/>
  <c r="M102" i="27" s="1"/>
  <c r="M103" i="27" s="1"/>
  <c r="M104" i="27" s="1"/>
  <c r="M105" i="27" s="1"/>
  <c r="M106" i="27" s="1"/>
  <c r="M107" i="27" s="1"/>
  <c r="M108" i="27" s="1"/>
  <c r="M109" i="27" s="1"/>
  <c r="M110" i="27" s="1"/>
  <c r="M111" i="27" s="1"/>
  <c r="M112" i="27" s="1"/>
  <c r="M113" i="27" s="1"/>
  <c r="M114" i="27" s="1"/>
  <c r="M115" i="27" s="1"/>
  <c r="M116" i="27" s="1"/>
  <c r="M117" i="27" s="1"/>
  <c r="M118" i="27" s="1"/>
  <c r="M119" i="27" s="1"/>
  <c r="M120" i="27" s="1"/>
  <c r="M121" i="27" s="1"/>
  <c r="M122" i="27" s="1"/>
  <c r="M123" i="27" s="1"/>
  <c r="M124" i="27" s="1"/>
  <c r="M125" i="27" s="1"/>
  <c r="M126" i="27" s="1"/>
  <c r="M127" i="27" s="1"/>
  <c r="M128" i="27" s="1"/>
  <c r="M129" i="27" s="1"/>
  <c r="M130" i="27" s="1"/>
  <c r="M131" i="27" s="1"/>
  <c r="M132" i="27" s="1"/>
  <c r="M133" i="27" s="1"/>
  <c r="M134" i="27" s="1"/>
  <c r="M135" i="27" s="1"/>
  <c r="M136" i="27" s="1"/>
  <c r="M137" i="27" s="1"/>
  <c r="M138" i="27" s="1"/>
  <c r="M139" i="27" s="1"/>
  <c r="M140" i="27" s="1"/>
  <c r="M141" i="27" s="1"/>
  <c r="M142" i="27" s="1"/>
  <c r="M143" i="27" s="1"/>
  <c r="M144" i="27" s="1"/>
  <c r="M145" i="27" s="1"/>
  <c r="M146" i="27" s="1"/>
  <c r="M147" i="27" s="1"/>
  <c r="M148" i="27" s="1"/>
  <c r="M149" i="27" s="1"/>
  <c r="M150" i="27" s="1"/>
  <c r="M151" i="27" s="1"/>
  <c r="M152" i="27" s="1"/>
  <c r="M153" i="27" s="1"/>
  <c r="M154" i="27" s="1"/>
  <c r="M155" i="27" s="1"/>
  <c r="M156" i="27" s="1"/>
  <c r="M157" i="27" s="1"/>
  <c r="M158" i="27" s="1"/>
  <c r="M159" i="27" s="1"/>
  <c r="M160" i="27" s="1"/>
  <c r="M161" i="27" s="1"/>
  <c r="M162" i="27" s="1"/>
  <c r="M163" i="27" s="1"/>
  <c r="M164" i="27" s="1"/>
  <c r="M165" i="27" s="1"/>
  <c r="M166" i="27" s="1"/>
  <c r="M167" i="27" s="1"/>
  <c r="M168" i="27" s="1"/>
  <c r="M169" i="27" s="1"/>
  <c r="M170" i="27" s="1"/>
  <c r="M171" i="27" s="1"/>
  <c r="M172" i="27" s="1"/>
  <c r="M173" i="27" s="1"/>
  <c r="M174" i="27" s="1"/>
  <c r="M175" i="27" s="1"/>
  <c r="M176" i="27" s="1"/>
  <c r="M177" i="27" s="1"/>
  <c r="M178" i="27" s="1"/>
  <c r="M179" i="27" s="1"/>
  <c r="M180" i="27" s="1"/>
  <c r="M181" i="27" s="1"/>
  <c r="M182" i="27" s="1"/>
  <c r="M183" i="27" s="1"/>
  <c r="M184" i="27" s="1"/>
  <c r="M185" i="27" s="1"/>
  <c r="M186" i="27" s="1"/>
  <c r="M187" i="27" s="1"/>
  <c r="M188" i="27" s="1"/>
  <c r="M189" i="27" s="1"/>
  <c r="M190" i="27" s="1"/>
  <c r="M191" i="27" s="1"/>
  <c r="M192" i="27" s="1"/>
  <c r="M193" i="27" s="1"/>
  <c r="M194" i="27" s="1"/>
  <c r="M195" i="27" s="1"/>
  <c r="M196" i="27" s="1"/>
  <c r="M197" i="27" s="1"/>
  <c r="M198" i="27" s="1"/>
  <c r="M199" i="27" s="1"/>
  <c r="M200" i="27" s="1"/>
  <c r="M201" i="27" s="1"/>
  <c r="M202" i="27" s="1"/>
  <c r="M203" i="27" s="1"/>
  <c r="M204" i="27" s="1"/>
  <c r="M205" i="27" s="1"/>
  <c r="M206" i="27" s="1"/>
  <c r="M207" i="27" s="1"/>
  <c r="M208" i="27" s="1"/>
  <c r="M209" i="27" s="1"/>
  <c r="M210" i="27" s="1"/>
  <c r="M211" i="27" s="1"/>
  <c r="M212" i="27" s="1"/>
  <c r="M213" i="27" s="1"/>
  <c r="M214" i="27" s="1"/>
  <c r="M215" i="27" s="1"/>
  <c r="M216" i="27" s="1"/>
  <c r="M217" i="27" s="1"/>
  <c r="M218" i="27" s="1"/>
  <c r="M219" i="27" s="1"/>
  <c r="M220" i="27" s="1"/>
  <c r="M221" i="27" s="1"/>
  <c r="M222" i="27" s="1"/>
  <c r="M223" i="27" s="1"/>
  <c r="M224" i="27" s="1"/>
  <c r="M225" i="27" s="1"/>
  <c r="M226" i="27" s="1"/>
  <c r="M227" i="27" s="1"/>
  <c r="M228" i="27" s="1"/>
  <c r="M229" i="27" s="1"/>
  <c r="M230" i="27" s="1"/>
  <c r="M231" i="27" s="1"/>
  <c r="M232" i="27" s="1"/>
  <c r="M233" i="27" s="1"/>
  <c r="M234" i="27" s="1"/>
  <c r="M235" i="27" s="1"/>
  <c r="M236" i="27" s="1"/>
  <c r="M237" i="27" s="1"/>
  <c r="M238" i="27" s="1"/>
  <c r="M239" i="27" s="1"/>
  <c r="M240" i="27" s="1"/>
  <c r="M241" i="27" s="1"/>
  <c r="M242" i="27" s="1"/>
  <c r="M243" i="27" s="1"/>
  <c r="L64" i="27"/>
  <c r="K64" i="27" s="1"/>
  <c r="L63" i="27"/>
  <c r="D55" i="27"/>
  <c r="D54" i="27"/>
  <c r="D53" i="27"/>
  <c r="D52" i="27"/>
  <c r="D15" i="27"/>
  <c r="D35" i="27" s="1"/>
  <c r="D261" i="26"/>
  <c r="L441" i="26"/>
  <c r="E441" i="26" s="1"/>
  <c r="E440" i="26"/>
  <c r="E438" i="26"/>
  <c r="E437" i="26"/>
  <c r="E436" i="26"/>
  <c r="E435" i="26"/>
  <c r="E434" i="26"/>
  <c r="E431" i="26"/>
  <c r="E430" i="26"/>
  <c r="E429" i="26"/>
  <c r="E427" i="26"/>
  <c r="E426" i="26"/>
  <c r="E425" i="26"/>
  <c r="E424" i="26"/>
  <c r="E423" i="26"/>
  <c r="E422" i="26"/>
  <c r="E421" i="26"/>
  <c r="E419" i="26"/>
  <c r="E418" i="26"/>
  <c r="E417" i="26"/>
  <c r="E415" i="26"/>
  <c r="E414" i="26"/>
  <c r="E413" i="26"/>
  <c r="E412" i="26"/>
  <c r="E411" i="26"/>
  <c r="E410" i="26"/>
  <c r="E409" i="26"/>
  <c r="E407" i="26"/>
  <c r="E406" i="26"/>
  <c r="E403" i="26"/>
  <c r="E402" i="26"/>
  <c r="E401" i="26"/>
  <c r="E400" i="26"/>
  <c r="E399" i="26"/>
  <c r="E398" i="26"/>
  <c r="E397" i="26"/>
  <c r="E396" i="26"/>
  <c r="E394" i="26"/>
  <c r="E392" i="26"/>
  <c r="E391" i="26"/>
  <c r="E389" i="26"/>
  <c r="E388" i="26"/>
  <c r="E387" i="26"/>
  <c r="E386" i="26"/>
  <c r="E385" i="26"/>
  <c r="E384" i="26"/>
  <c r="E380" i="26"/>
  <c r="E379" i="26"/>
  <c r="E378" i="26"/>
  <c r="E377" i="26"/>
  <c r="E376" i="26"/>
  <c r="E375" i="26"/>
  <c r="E374" i="26"/>
  <c r="E373" i="26"/>
  <c r="E372" i="26"/>
  <c r="E371" i="26"/>
  <c r="E368" i="26"/>
  <c r="E367" i="26"/>
  <c r="E366" i="26"/>
  <c r="E365" i="26"/>
  <c r="E364" i="26"/>
  <c r="E362" i="26"/>
  <c r="E361" i="26"/>
  <c r="E360" i="26"/>
  <c r="E359" i="26"/>
  <c r="E357" i="26"/>
  <c r="E355" i="26"/>
  <c r="E354" i="26"/>
  <c r="E353" i="26"/>
  <c r="E352" i="26"/>
  <c r="E351" i="26"/>
  <c r="E350" i="26"/>
  <c r="E348" i="26"/>
  <c r="E346" i="26"/>
  <c r="E345" i="26"/>
  <c r="E343" i="26"/>
  <c r="E342" i="26"/>
  <c r="E341" i="26"/>
  <c r="E340" i="26"/>
  <c r="E339" i="26"/>
  <c r="E338" i="26"/>
  <c r="E337" i="26"/>
  <c r="E336" i="26"/>
  <c r="E334" i="26"/>
  <c r="E333" i="26"/>
  <c r="E332" i="26"/>
  <c r="E330" i="26"/>
  <c r="E329" i="26"/>
  <c r="E328" i="26"/>
  <c r="E327" i="26"/>
  <c r="E326" i="26"/>
  <c r="E325" i="26"/>
  <c r="E323" i="26"/>
  <c r="E322" i="26"/>
  <c r="E320" i="26"/>
  <c r="E318" i="26"/>
  <c r="E317" i="26"/>
  <c r="E316" i="26"/>
  <c r="E315" i="26"/>
  <c r="E314" i="26"/>
  <c r="E313" i="26"/>
  <c r="E311" i="26"/>
  <c r="E310" i="26"/>
  <c r="E309" i="26"/>
  <c r="E306" i="26"/>
  <c r="E305" i="26"/>
  <c r="E304" i="26"/>
  <c r="E303" i="26"/>
  <c r="E302" i="26"/>
  <c r="E301" i="26"/>
  <c r="E300" i="26"/>
  <c r="E299" i="26"/>
  <c r="E298" i="26"/>
  <c r="E297" i="26"/>
  <c r="E296" i="26"/>
  <c r="E293" i="26"/>
  <c r="E292" i="26"/>
  <c r="E291" i="26"/>
  <c r="E290" i="26"/>
  <c r="E288" i="26"/>
  <c r="E287" i="26"/>
  <c r="E286" i="26"/>
  <c r="E285" i="26"/>
  <c r="E284" i="26"/>
  <c r="E283" i="26"/>
  <c r="E281" i="26"/>
  <c r="E280" i="26"/>
  <c r="E279" i="26"/>
  <c r="E278" i="26"/>
  <c r="E277" i="26"/>
  <c r="E276" i="26"/>
  <c r="E275" i="26"/>
  <c r="E274" i="26"/>
  <c r="E272" i="26"/>
  <c r="E271" i="26"/>
  <c r="E270" i="26"/>
  <c r="E269" i="26"/>
  <c r="E268" i="26"/>
  <c r="E267" i="26"/>
  <c r="E265" i="26"/>
  <c r="E264" i="26"/>
  <c r="M262" i="26"/>
  <c r="M263" i="26" s="1"/>
  <c r="M264" i="26" s="1"/>
  <c r="M265" i="26" s="1"/>
  <c r="M266" i="26" s="1"/>
  <c r="M267" i="26" s="1"/>
  <c r="M268" i="26" s="1"/>
  <c r="M269" i="26" s="1"/>
  <c r="M270" i="26" s="1"/>
  <c r="M271" i="26" s="1"/>
  <c r="M272" i="26" s="1"/>
  <c r="M273" i="26" s="1"/>
  <c r="M274" i="26" s="1"/>
  <c r="M275" i="26" s="1"/>
  <c r="M276" i="26" s="1"/>
  <c r="M277" i="26" s="1"/>
  <c r="M278" i="26" s="1"/>
  <c r="M279" i="26" s="1"/>
  <c r="M280" i="26" s="1"/>
  <c r="M281" i="26" s="1"/>
  <c r="M282" i="26" s="1"/>
  <c r="M283" i="26" s="1"/>
  <c r="M284" i="26" s="1"/>
  <c r="M285" i="26" s="1"/>
  <c r="M286" i="26" s="1"/>
  <c r="M287" i="26" s="1"/>
  <c r="M288" i="26" s="1"/>
  <c r="M289" i="26" s="1"/>
  <c r="M290" i="26" s="1"/>
  <c r="M291" i="26" s="1"/>
  <c r="M292" i="26" s="1"/>
  <c r="M293" i="26" s="1"/>
  <c r="M294" i="26" s="1"/>
  <c r="M295" i="26" s="1"/>
  <c r="M296" i="26" s="1"/>
  <c r="M297" i="26" s="1"/>
  <c r="M298" i="26" s="1"/>
  <c r="M299" i="26" s="1"/>
  <c r="M300" i="26" s="1"/>
  <c r="M301" i="26" s="1"/>
  <c r="M302" i="26" s="1"/>
  <c r="M303" i="26" s="1"/>
  <c r="M304" i="26" s="1"/>
  <c r="M305" i="26" s="1"/>
  <c r="M306" i="26" s="1"/>
  <c r="M307" i="26" s="1"/>
  <c r="M308" i="26" s="1"/>
  <c r="M309" i="26" s="1"/>
  <c r="M310" i="26" s="1"/>
  <c r="M311" i="26" s="1"/>
  <c r="M312" i="26" s="1"/>
  <c r="M313" i="26" s="1"/>
  <c r="M314" i="26" s="1"/>
  <c r="M315" i="26" s="1"/>
  <c r="M316" i="26" s="1"/>
  <c r="M317" i="26" s="1"/>
  <c r="M318" i="26" s="1"/>
  <c r="M319" i="26" s="1"/>
  <c r="M320" i="26" s="1"/>
  <c r="M321" i="26" s="1"/>
  <c r="M322" i="26" s="1"/>
  <c r="M323" i="26" s="1"/>
  <c r="M324" i="26" s="1"/>
  <c r="M325" i="26" s="1"/>
  <c r="M326" i="26" s="1"/>
  <c r="M327" i="26" s="1"/>
  <c r="M328" i="26" s="1"/>
  <c r="M329" i="26" s="1"/>
  <c r="M330" i="26" s="1"/>
  <c r="M331" i="26" s="1"/>
  <c r="M332" i="26" s="1"/>
  <c r="M333" i="26" s="1"/>
  <c r="M334" i="26" s="1"/>
  <c r="M335" i="26" s="1"/>
  <c r="M336" i="26" s="1"/>
  <c r="M337" i="26" s="1"/>
  <c r="M338" i="26" s="1"/>
  <c r="M339" i="26" s="1"/>
  <c r="M340" i="26" s="1"/>
  <c r="M341" i="26" s="1"/>
  <c r="M342" i="26" s="1"/>
  <c r="M343" i="26" s="1"/>
  <c r="M344" i="26" s="1"/>
  <c r="M345" i="26" s="1"/>
  <c r="M346" i="26" s="1"/>
  <c r="M347" i="26" s="1"/>
  <c r="M348" i="26" s="1"/>
  <c r="M349" i="26" s="1"/>
  <c r="M350" i="26" s="1"/>
  <c r="M351" i="26" s="1"/>
  <c r="M352" i="26" s="1"/>
  <c r="M353" i="26" s="1"/>
  <c r="M354" i="26" s="1"/>
  <c r="M355" i="26" s="1"/>
  <c r="M356" i="26" s="1"/>
  <c r="M357" i="26" s="1"/>
  <c r="M358" i="26" s="1"/>
  <c r="M359" i="26" s="1"/>
  <c r="M360" i="26" s="1"/>
  <c r="M361" i="26" s="1"/>
  <c r="M362" i="26" s="1"/>
  <c r="M363" i="26" s="1"/>
  <c r="M364" i="26" s="1"/>
  <c r="M365" i="26" s="1"/>
  <c r="M366" i="26" s="1"/>
  <c r="M367" i="26" s="1"/>
  <c r="M368" i="26" s="1"/>
  <c r="M369" i="26" s="1"/>
  <c r="M370" i="26" s="1"/>
  <c r="M371" i="26" s="1"/>
  <c r="M372" i="26" s="1"/>
  <c r="M373" i="26" s="1"/>
  <c r="M374" i="26" s="1"/>
  <c r="M375" i="26" s="1"/>
  <c r="M376" i="26" s="1"/>
  <c r="M377" i="26" s="1"/>
  <c r="M378" i="26" s="1"/>
  <c r="M379" i="26" s="1"/>
  <c r="M380" i="26" s="1"/>
  <c r="M381" i="26" s="1"/>
  <c r="M382" i="26" s="1"/>
  <c r="M383" i="26" s="1"/>
  <c r="M384" i="26" s="1"/>
  <c r="M385" i="26" s="1"/>
  <c r="M386" i="26" s="1"/>
  <c r="M387" i="26" s="1"/>
  <c r="M388" i="26" s="1"/>
  <c r="M389" i="26" s="1"/>
  <c r="M390" i="26" s="1"/>
  <c r="M391" i="26" s="1"/>
  <c r="M392" i="26" s="1"/>
  <c r="M393" i="26" s="1"/>
  <c r="M394" i="26" s="1"/>
  <c r="M395" i="26" s="1"/>
  <c r="M396" i="26" s="1"/>
  <c r="M397" i="26" s="1"/>
  <c r="M398" i="26" s="1"/>
  <c r="M399" i="26" s="1"/>
  <c r="M400" i="26" s="1"/>
  <c r="M401" i="26" s="1"/>
  <c r="M402" i="26" s="1"/>
  <c r="M403" i="26" s="1"/>
  <c r="M404" i="26" s="1"/>
  <c r="M405" i="26" s="1"/>
  <c r="M406" i="26" s="1"/>
  <c r="M407" i="26" s="1"/>
  <c r="M408" i="26" s="1"/>
  <c r="M409" i="26" s="1"/>
  <c r="M410" i="26" s="1"/>
  <c r="M411" i="26" s="1"/>
  <c r="M412" i="26" s="1"/>
  <c r="M413" i="26" s="1"/>
  <c r="M414" i="26" s="1"/>
  <c r="M415" i="26" s="1"/>
  <c r="M416" i="26" s="1"/>
  <c r="M417" i="26" s="1"/>
  <c r="M418" i="26" s="1"/>
  <c r="M419" i="26" s="1"/>
  <c r="M420" i="26" s="1"/>
  <c r="M421" i="26" s="1"/>
  <c r="M422" i="26" s="1"/>
  <c r="M423" i="26" s="1"/>
  <c r="M424" i="26" s="1"/>
  <c r="M425" i="26" s="1"/>
  <c r="M426" i="26" s="1"/>
  <c r="M427" i="26" s="1"/>
  <c r="M428" i="26" s="1"/>
  <c r="M429" i="26" s="1"/>
  <c r="M430" i="26" s="1"/>
  <c r="M431" i="26" s="1"/>
  <c r="M432" i="26" s="1"/>
  <c r="M433" i="26" s="1"/>
  <c r="M434" i="26" s="1"/>
  <c r="M435" i="26" s="1"/>
  <c r="M436" i="26" s="1"/>
  <c r="M437" i="26" s="1"/>
  <c r="M438" i="26" s="1"/>
  <c r="M439" i="26" s="1"/>
  <c r="M440" i="26" s="1"/>
  <c r="M441" i="26" s="1"/>
  <c r="E262" i="26"/>
  <c r="L256" i="26"/>
  <c r="L255" i="26"/>
  <c r="L254" i="26"/>
  <c r="L253" i="26"/>
  <c r="L252" i="26"/>
  <c r="L251" i="26"/>
  <c r="L250" i="26"/>
  <c r="L249" i="26"/>
  <c r="L248" i="26"/>
  <c r="L247" i="26"/>
  <c r="L244" i="26"/>
  <c r="L243" i="26"/>
  <c r="L241" i="26"/>
  <c r="L240" i="26"/>
  <c r="L239" i="26"/>
  <c r="L238" i="26"/>
  <c r="L237" i="26"/>
  <c r="L236" i="26"/>
  <c r="L235" i="26"/>
  <c r="L234" i="26"/>
  <c r="L233" i="26"/>
  <c r="L232" i="26"/>
  <c r="L231" i="26"/>
  <c r="L230" i="26"/>
  <c r="L229" i="26"/>
  <c r="L228" i="26"/>
  <c r="L227" i="26"/>
  <c r="L226" i="26"/>
  <c r="L225" i="26"/>
  <c r="L222" i="26"/>
  <c r="L221" i="26"/>
  <c r="L220" i="26"/>
  <c r="L219" i="26"/>
  <c r="L217" i="26"/>
  <c r="L216" i="26"/>
  <c r="L215" i="26"/>
  <c r="L214" i="26"/>
  <c r="L213" i="26"/>
  <c r="L212" i="26"/>
  <c r="L211" i="26"/>
  <c r="L210" i="26"/>
  <c r="L209" i="26"/>
  <c r="L208" i="26"/>
  <c r="L207" i="26"/>
  <c r="L206" i="26"/>
  <c r="L205" i="26"/>
  <c r="L204" i="26"/>
  <c r="L203" i="26"/>
  <c r="L200" i="26"/>
  <c r="L199" i="26"/>
  <c r="L198" i="26"/>
  <c r="L197" i="26"/>
  <c r="L196" i="26"/>
  <c r="L195" i="26"/>
  <c r="L193" i="26"/>
  <c r="L192" i="26"/>
  <c r="L191" i="26"/>
  <c r="L190" i="26"/>
  <c r="L189" i="26"/>
  <c r="L188" i="26"/>
  <c r="L187" i="26"/>
  <c r="L186" i="26"/>
  <c r="L185" i="26"/>
  <c r="L184" i="26"/>
  <c r="L183" i="26"/>
  <c r="L182" i="26"/>
  <c r="L181" i="26"/>
  <c r="L178" i="26"/>
  <c r="L177" i="26"/>
  <c r="L176" i="26"/>
  <c r="L175" i="26"/>
  <c r="L174" i="26"/>
  <c r="L173" i="26"/>
  <c r="L172" i="26"/>
  <c r="L171" i="26"/>
  <c r="L169" i="26"/>
  <c r="L168" i="26"/>
  <c r="L167" i="26"/>
  <c r="L166" i="26"/>
  <c r="L165" i="26"/>
  <c r="L164" i="26"/>
  <c r="L163" i="26"/>
  <c r="L162" i="26"/>
  <c r="L161" i="26"/>
  <c r="L160" i="26"/>
  <c r="L159" i="26"/>
  <c r="L156" i="26"/>
  <c r="L155" i="26"/>
  <c r="L154" i="26"/>
  <c r="L153" i="26"/>
  <c r="L152" i="26"/>
  <c r="L151" i="26"/>
  <c r="L150" i="26"/>
  <c r="L149" i="26"/>
  <c r="L148" i="26"/>
  <c r="L147" i="26"/>
  <c r="L145" i="26"/>
  <c r="L144" i="26"/>
  <c r="L143" i="26"/>
  <c r="L142" i="26"/>
  <c r="L141" i="26"/>
  <c r="L140" i="26"/>
  <c r="L139" i="26"/>
  <c r="L138" i="26"/>
  <c r="L137" i="26"/>
  <c r="L135" i="26"/>
  <c r="L134" i="26"/>
  <c r="L133" i="26"/>
  <c r="L132" i="26"/>
  <c r="L131" i="26"/>
  <c r="L130" i="26"/>
  <c r="L129" i="26"/>
  <c r="L128" i="26"/>
  <c r="L127" i="26"/>
  <c r="L126" i="26"/>
  <c r="L125" i="26"/>
  <c r="L124" i="26"/>
  <c r="L122" i="26"/>
  <c r="L121" i="26"/>
  <c r="L120" i="26"/>
  <c r="L119" i="26"/>
  <c r="L118" i="26"/>
  <c r="L117" i="26"/>
  <c r="L116" i="26"/>
  <c r="L115" i="26"/>
  <c r="L113" i="26"/>
  <c r="L112" i="26"/>
  <c r="L111" i="26"/>
  <c r="L110" i="26"/>
  <c r="L109" i="26"/>
  <c r="L108" i="26"/>
  <c r="L107" i="26"/>
  <c r="L106" i="26"/>
  <c r="L105" i="26"/>
  <c r="L104" i="26"/>
  <c r="L103" i="26"/>
  <c r="L102" i="26"/>
  <c r="L101" i="26"/>
  <c r="L99" i="26"/>
  <c r="L98" i="26"/>
  <c r="L97" i="26"/>
  <c r="L96" i="26"/>
  <c r="L95" i="26"/>
  <c r="L94" i="26"/>
  <c r="L93" i="26"/>
  <c r="L91" i="26"/>
  <c r="L90" i="26"/>
  <c r="L89" i="26"/>
  <c r="L88" i="26"/>
  <c r="K88" i="26" s="1"/>
  <c r="L87" i="26"/>
  <c r="K87" i="26" s="1"/>
  <c r="L86" i="26"/>
  <c r="K86" i="26" s="1"/>
  <c r="L84" i="26"/>
  <c r="K84" i="26" s="1"/>
  <c r="L83" i="26"/>
  <c r="K83" i="26" s="1"/>
  <c r="L81" i="26"/>
  <c r="K81" i="26" s="1"/>
  <c r="L80" i="26"/>
  <c r="K80" i="26" s="1"/>
  <c r="L79" i="26"/>
  <c r="K79" i="26" s="1"/>
  <c r="L78" i="26"/>
  <c r="K78" i="26" s="1"/>
  <c r="M77" i="26"/>
  <c r="M78" i="26" s="1"/>
  <c r="M79" i="26" s="1"/>
  <c r="M80" i="26" s="1"/>
  <c r="M81" i="26" s="1"/>
  <c r="M82" i="26" s="1"/>
  <c r="M83" i="26" s="1"/>
  <c r="M84" i="26" s="1"/>
  <c r="M85" i="26" s="1"/>
  <c r="M86" i="26" s="1"/>
  <c r="M87" i="26" s="1"/>
  <c r="M88" i="26" s="1"/>
  <c r="M89" i="26" s="1"/>
  <c r="M90" i="26" s="1"/>
  <c r="M91" i="26" s="1"/>
  <c r="M92" i="26" s="1"/>
  <c r="M93" i="26" s="1"/>
  <c r="M94" i="26" s="1"/>
  <c r="M95" i="26" s="1"/>
  <c r="M96" i="26" s="1"/>
  <c r="M97" i="26" s="1"/>
  <c r="M98" i="26" s="1"/>
  <c r="M99" i="26" s="1"/>
  <c r="M100" i="26" s="1"/>
  <c r="M101" i="26" s="1"/>
  <c r="M102" i="26" s="1"/>
  <c r="M103" i="26" s="1"/>
  <c r="M104" i="26" s="1"/>
  <c r="M105" i="26" s="1"/>
  <c r="M106" i="26" s="1"/>
  <c r="M107" i="26" s="1"/>
  <c r="M108" i="26" s="1"/>
  <c r="M109" i="26" s="1"/>
  <c r="M110" i="26" s="1"/>
  <c r="M111" i="26" s="1"/>
  <c r="M112" i="26" s="1"/>
  <c r="M113" i="26" s="1"/>
  <c r="M114" i="26" s="1"/>
  <c r="M115" i="26" s="1"/>
  <c r="M116" i="26" s="1"/>
  <c r="M117" i="26" s="1"/>
  <c r="M118" i="26" s="1"/>
  <c r="M119" i="26" s="1"/>
  <c r="M120" i="26" s="1"/>
  <c r="M121" i="26" s="1"/>
  <c r="M122" i="26" s="1"/>
  <c r="M123" i="26" s="1"/>
  <c r="M124" i="26" s="1"/>
  <c r="M125" i="26" s="1"/>
  <c r="M126" i="26" s="1"/>
  <c r="M127" i="26" s="1"/>
  <c r="M128" i="26" s="1"/>
  <c r="M129" i="26" s="1"/>
  <c r="M130" i="26" s="1"/>
  <c r="M131" i="26" s="1"/>
  <c r="M132" i="26" s="1"/>
  <c r="M133" i="26" s="1"/>
  <c r="M134" i="26" s="1"/>
  <c r="M135" i="26" s="1"/>
  <c r="M136" i="26" s="1"/>
  <c r="M137" i="26" s="1"/>
  <c r="M138" i="26" s="1"/>
  <c r="M139" i="26" s="1"/>
  <c r="M140" i="26" s="1"/>
  <c r="M141" i="26" s="1"/>
  <c r="M142" i="26" s="1"/>
  <c r="M143" i="26" s="1"/>
  <c r="M144" i="26" s="1"/>
  <c r="M145" i="26" s="1"/>
  <c r="M146" i="26" s="1"/>
  <c r="M147" i="26" s="1"/>
  <c r="M148" i="26" s="1"/>
  <c r="M149" i="26" s="1"/>
  <c r="M150" i="26" s="1"/>
  <c r="M151" i="26" s="1"/>
  <c r="M152" i="26" s="1"/>
  <c r="M153" i="26" s="1"/>
  <c r="M154" i="26" s="1"/>
  <c r="M155" i="26" s="1"/>
  <c r="M156" i="26" s="1"/>
  <c r="M157" i="26" s="1"/>
  <c r="M158" i="26" s="1"/>
  <c r="M159" i="26" s="1"/>
  <c r="M160" i="26" s="1"/>
  <c r="M161" i="26" s="1"/>
  <c r="M162" i="26" s="1"/>
  <c r="M163" i="26" s="1"/>
  <c r="M164" i="26" s="1"/>
  <c r="M165" i="26" s="1"/>
  <c r="M166" i="26" s="1"/>
  <c r="M167" i="26" s="1"/>
  <c r="M168" i="26" s="1"/>
  <c r="M169" i="26" s="1"/>
  <c r="M170" i="26" s="1"/>
  <c r="M171" i="26" s="1"/>
  <c r="M172" i="26" s="1"/>
  <c r="M173" i="26" s="1"/>
  <c r="M174" i="26" s="1"/>
  <c r="M175" i="26" s="1"/>
  <c r="M176" i="26" s="1"/>
  <c r="M177" i="26" s="1"/>
  <c r="M178" i="26" s="1"/>
  <c r="M179" i="26" s="1"/>
  <c r="M180" i="26" s="1"/>
  <c r="M181" i="26" s="1"/>
  <c r="M182" i="26" s="1"/>
  <c r="M183" i="26" s="1"/>
  <c r="M184" i="26" s="1"/>
  <c r="M185" i="26" s="1"/>
  <c r="M186" i="26" s="1"/>
  <c r="M187" i="26" s="1"/>
  <c r="M188" i="26" s="1"/>
  <c r="M189" i="26" s="1"/>
  <c r="M190" i="26" s="1"/>
  <c r="M191" i="26" s="1"/>
  <c r="M192" i="26" s="1"/>
  <c r="M193" i="26" s="1"/>
  <c r="M194" i="26" s="1"/>
  <c r="M195" i="26" s="1"/>
  <c r="M196" i="26" s="1"/>
  <c r="M197" i="26" s="1"/>
  <c r="M198" i="26" s="1"/>
  <c r="M199" i="26" s="1"/>
  <c r="M200" i="26" s="1"/>
  <c r="M201" i="26" s="1"/>
  <c r="M202" i="26" s="1"/>
  <c r="M203" i="26" s="1"/>
  <c r="M204" i="26" s="1"/>
  <c r="M205" i="26" s="1"/>
  <c r="M206" i="26" s="1"/>
  <c r="M207" i="26" s="1"/>
  <c r="M208" i="26" s="1"/>
  <c r="M209" i="26" s="1"/>
  <c r="M210" i="26" s="1"/>
  <c r="M211" i="26" s="1"/>
  <c r="M212" i="26" s="1"/>
  <c r="M213" i="26" s="1"/>
  <c r="M214" i="26" s="1"/>
  <c r="M215" i="26" s="1"/>
  <c r="M216" i="26" s="1"/>
  <c r="M217" i="26" s="1"/>
  <c r="M218" i="26" s="1"/>
  <c r="M219" i="26" s="1"/>
  <c r="M220" i="26" s="1"/>
  <c r="M221" i="26" s="1"/>
  <c r="M222" i="26" s="1"/>
  <c r="M223" i="26" s="1"/>
  <c r="M224" i="26" s="1"/>
  <c r="M225" i="26" s="1"/>
  <c r="M226" i="26" s="1"/>
  <c r="M227" i="26" s="1"/>
  <c r="M228" i="26" s="1"/>
  <c r="M229" i="26" s="1"/>
  <c r="M230" i="26" s="1"/>
  <c r="M231" i="26" s="1"/>
  <c r="M232" i="26" s="1"/>
  <c r="M233" i="26" s="1"/>
  <c r="M234" i="26" s="1"/>
  <c r="M235" i="26" s="1"/>
  <c r="M236" i="26" s="1"/>
  <c r="M237" i="26" s="1"/>
  <c r="M238" i="26" s="1"/>
  <c r="M239" i="26" s="1"/>
  <c r="M240" i="26" s="1"/>
  <c r="M241" i="26" s="1"/>
  <c r="M242" i="26" s="1"/>
  <c r="M243" i="26" s="1"/>
  <c r="M244" i="26" s="1"/>
  <c r="M245" i="26" s="1"/>
  <c r="M246" i="26" s="1"/>
  <c r="M247" i="26" s="1"/>
  <c r="M248" i="26" s="1"/>
  <c r="M249" i="26" s="1"/>
  <c r="M250" i="26" s="1"/>
  <c r="M251" i="26" s="1"/>
  <c r="M252" i="26" s="1"/>
  <c r="M253" i="26" s="1"/>
  <c r="M254" i="26" s="1"/>
  <c r="M255" i="26" s="1"/>
  <c r="M256" i="26" s="1"/>
  <c r="L77" i="26"/>
  <c r="K638" i="26" l="1"/>
  <c r="K639" i="26" s="1"/>
  <c r="D639" i="26" s="1"/>
  <c r="K463" i="26"/>
  <c r="K464" i="26" s="1"/>
  <c r="K259" i="27"/>
  <c r="D259" i="27" s="1"/>
  <c r="E259" i="27"/>
  <c r="K258" i="27"/>
  <c r="D258" i="27" s="1"/>
  <c r="E258" i="27"/>
  <c r="K257" i="27"/>
  <c r="D257" i="27" s="1"/>
  <c r="E257" i="27"/>
  <c r="K256" i="27"/>
  <c r="D256" i="27" s="1"/>
  <c r="E256" i="27"/>
  <c r="K255" i="27"/>
  <c r="D255" i="27" s="1"/>
  <c r="E255" i="27"/>
  <c r="K254" i="27"/>
  <c r="D254" i="27" s="1"/>
  <c r="E254" i="27"/>
  <c r="K253" i="27"/>
  <c r="D253" i="27" s="1"/>
  <c r="E253" i="27"/>
  <c r="K252" i="27"/>
  <c r="D252" i="27" s="1"/>
  <c r="E252" i="27"/>
  <c r="K251" i="27"/>
  <c r="D251" i="27" s="1"/>
  <c r="E251" i="27"/>
  <c r="K250" i="27"/>
  <c r="D250" i="27" s="1"/>
  <c r="E250" i="27"/>
  <c r="K249" i="27"/>
  <c r="D249" i="27" s="1"/>
  <c r="E249" i="27"/>
  <c r="K260" i="27"/>
  <c r="D260" i="27" s="1"/>
  <c r="E260" i="27"/>
  <c r="K77" i="26"/>
  <c r="G428" i="27"/>
  <c r="G249" i="27"/>
  <c r="K76" i="27"/>
  <c r="K77" i="27" s="1"/>
  <c r="G170" i="27"/>
  <c r="G112" i="27"/>
  <c r="G153" i="27"/>
  <c r="G173" i="27"/>
  <c r="G93" i="27"/>
  <c r="G134" i="27"/>
  <c r="G114" i="27"/>
  <c r="G64" i="27"/>
  <c r="G78" i="27"/>
  <c r="G376" i="27"/>
  <c r="G117" i="27"/>
  <c r="G138" i="27"/>
  <c r="G80" i="27"/>
  <c r="G161" i="27"/>
  <c r="G366" i="27"/>
  <c r="G339" i="27"/>
  <c r="G222" i="27"/>
  <c r="G142" i="27"/>
  <c r="G70" i="27"/>
  <c r="G146" i="27"/>
  <c r="G90" i="27"/>
  <c r="G210" i="27"/>
  <c r="G120" i="27"/>
  <c r="G395" i="27"/>
  <c r="G268" i="27"/>
  <c r="G255" i="27"/>
  <c r="G160" i="27"/>
  <c r="G199" i="27"/>
  <c r="G141" i="27"/>
  <c r="G105" i="27"/>
  <c r="G87" i="27"/>
  <c r="G308" i="27"/>
  <c r="G254" i="27"/>
  <c r="G121" i="27"/>
  <c r="G139" i="27"/>
  <c r="G103" i="27"/>
  <c r="G85" i="27"/>
  <c r="G68" i="27"/>
  <c r="G81" i="27"/>
  <c r="G122" i="27"/>
  <c r="G127" i="27"/>
  <c r="G137" i="27"/>
  <c r="G174" i="27"/>
  <c r="G316" i="27"/>
  <c r="G327" i="27"/>
  <c r="G73" i="27"/>
  <c r="G99" i="27"/>
  <c r="G108" i="27"/>
  <c r="G182" i="27"/>
  <c r="G196" i="27"/>
  <c r="G218" i="27"/>
  <c r="G133" i="27"/>
  <c r="G294" i="27"/>
  <c r="G354" i="27"/>
  <c r="G65" i="27"/>
  <c r="G421" i="27"/>
  <c r="K261" i="27"/>
  <c r="G169" i="27"/>
  <c r="G82" i="27"/>
  <c r="G118" i="27"/>
  <c r="G149" i="27"/>
  <c r="G205" i="27"/>
  <c r="G295" i="27"/>
  <c r="G113" i="27"/>
  <c r="G109" i="27"/>
  <c r="G256" i="27"/>
  <c r="G396" i="27"/>
  <c r="G124" i="27"/>
  <c r="G207" i="27"/>
  <c r="G286" i="27"/>
  <c r="G96" i="27"/>
  <c r="G110" i="27"/>
  <c r="G192" i="27"/>
  <c r="G309" i="27"/>
  <c r="G358" i="27"/>
  <c r="G413" i="27"/>
  <c r="G391" i="27"/>
  <c r="G369" i="27"/>
  <c r="G347" i="27"/>
  <c r="G325" i="27"/>
  <c r="G303" i="27"/>
  <c r="G281" i="27"/>
  <c r="G259" i="27"/>
  <c r="G236" i="27"/>
  <c r="G214" i="27"/>
  <c r="G416" i="27"/>
  <c r="G394" i="27"/>
  <c r="G372" i="27"/>
  <c r="G350" i="27"/>
  <c r="G328" i="27"/>
  <c r="G306" i="27"/>
  <c r="G284" i="27"/>
  <c r="G262" i="27"/>
  <c r="G231" i="27"/>
  <c r="G209" i="27"/>
  <c r="G187" i="27"/>
  <c r="G165" i="27"/>
  <c r="G419" i="27"/>
  <c r="G397" i="27"/>
  <c r="G375" i="27"/>
  <c r="G353" i="27"/>
  <c r="G422" i="27"/>
  <c r="G400" i="27"/>
  <c r="G378" i="27"/>
  <c r="G356" i="27"/>
  <c r="G334" i="27"/>
  <c r="G312" i="27"/>
  <c r="G290" i="27"/>
  <c r="G425" i="27"/>
  <c r="G403" i="27"/>
  <c r="G381" i="27"/>
  <c r="G359" i="27"/>
  <c r="G337" i="27"/>
  <c r="G315" i="27"/>
  <c r="G293" i="27"/>
  <c r="G271" i="27"/>
  <c r="G238" i="27"/>
  <c r="G216" i="27"/>
  <c r="G194" i="27"/>
  <c r="G172" i="27"/>
  <c r="G150" i="27"/>
  <c r="G406" i="27"/>
  <c r="G384" i="27"/>
  <c r="G362" i="27"/>
  <c r="G340" i="27"/>
  <c r="G318" i="27"/>
  <c r="G296" i="27"/>
  <c r="G274" i="27"/>
  <c r="G252" i="27"/>
  <c r="G233" i="27"/>
  <c r="G211" i="27"/>
  <c r="G189" i="27"/>
  <c r="G167" i="27"/>
  <c r="G412" i="27"/>
  <c r="G390" i="27"/>
  <c r="G368" i="27"/>
  <c r="G346" i="27"/>
  <c r="G324" i="27"/>
  <c r="G302" i="27"/>
  <c r="G280" i="27"/>
  <c r="G258" i="27"/>
  <c r="G223" i="27"/>
  <c r="G201" i="27"/>
  <c r="G179" i="27"/>
  <c r="G157" i="27"/>
  <c r="G407" i="27"/>
  <c r="G385" i="27"/>
  <c r="G363" i="27"/>
  <c r="G341" i="27"/>
  <c r="G319" i="27"/>
  <c r="G297" i="27"/>
  <c r="G373" i="27"/>
  <c r="G289" i="27"/>
  <c r="G285" i="27"/>
  <c r="G277" i="27"/>
  <c r="G273" i="27"/>
  <c r="G250" i="27"/>
  <c r="G240" i="27"/>
  <c r="G237" i="27"/>
  <c r="G228" i="27"/>
  <c r="G219" i="27"/>
  <c r="G168" i="27"/>
  <c r="G418" i="27"/>
  <c r="G414" i="27"/>
  <c r="G409" i="27"/>
  <c r="G243" i="27"/>
  <c r="G234" i="27"/>
  <c r="G191" i="27"/>
  <c r="G162" i="27"/>
  <c r="G159" i="27"/>
  <c r="G128" i="27"/>
  <c r="G106" i="27"/>
  <c r="G423" i="27"/>
  <c r="G382" i="27"/>
  <c r="G377" i="27"/>
  <c r="G336" i="27"/>
  <c r="G269" i="27"/>
  <c r="G261" i="27"/>
  <c r="G188" i="27"/>
  <c r="G156" i="27"/>
  <c r="G145" i="27"/>
  <c r="G123" i="27"/>
  <c r="G101" i="27"/>
  <c r="G404" i="27"/>
  <c r="G399" i="27"/>
  <c r="G305" i="27"/>
  <c r="G301" i="27"/>
  <c r="G292" i="27"/>
  <c r="G276" i="27"/>
  <c r="G253" i="27"/>
  <c r="G408" i="27"/>
  <c r="G367" i="27"/>
  <c r="G331" i="27"/>
  <c r="G288" i="27"/>
  <c r="G405" i="27"/>
  <c r="G393" i="27"/>
  <c r="G349" i="27"/>
  <c r="G344" i="27"/>
  <c r="G323" i="27"/>
  <c r="G291" i="27"/>
  <c r="G248" i="27"/>
  <c r="G220" i="27"/>
  <c r="G213" i="27"/>
  <c r="G166" i="27"/>
  <c r="G163" i="27"/>
  <c r="G102" i="27"/>
  <c r="G77" i="27"/>
  <c r="G388" i="27"/>
  <c r="G365" i="27"/>
  <c r="G333" i="27"/>
  <c r="G317" i="27"/>
  <c r="G307" i="27"/>
  <c r="G227" i="27"/>
  <c r="G147" i="27"/>
  <c r="G94" i="27"/>
  <c r="G72" i="27"/>
  <c r="G415" i="27"/>
  <c r="G387" i="27"/>
  <c r="G338" i="27"/>
  <c r="G275" i="27"/>
  <c r="G270" i="27"/>
  <c r="G266" i="27"/>
  <c r="G230" i="27"/>
  <c r="G398" i="27"/>
  <c r="G348" i="27"/>
  <c r="G370" i="27"/>
  <c r="G332" i="27"/>
  <c r="G311" i="27"/>
  <c r="G279" i="27"/>
  <c r="G265" i="27"/>
  <c r="G195" i="27"/>
  <c r="G91" i="27"/>
  <c r="G69" i="27"/>
  <c r="G426" i="27"/>
  <c r="G392" i="27"/>
  <c r="G386" i="27"/>
  <c r="G364" i="27"/>
  <c r="G321" i="27"/>
  <c r="G300" i="27"/>
  <c r="G420" i="27"/>
  <c r="G402" i="27"/>
  <c r="G326" i="27"/>
  <c r="G283" i="27"/>
  <c r="G264" i="27"/>
  <c r="G260" i="27"/>
  <c r="G251" i="27"/>
  <c r="G198" i="27"/>
  <c r="G130" i="27"/>
  <c r="G76" i="27"/>
  <c r="G424" i="27"/>
  <c r="G357" i="27"/>
  <c r="G379" i="27"/>
  <c r="G351" i="27"/>
  <c r="G272" i="27"/>
  <c r="G221" i="27"/>
  <c r="G197" i="27"/>
  <c r="G190" i="27"/>
  <c r="G177" i="27"/>
  <c r="G417" i="27"/>
  <c r="G389" i="27"/>
  <c r="G361" i="27"/>
  <c r="G345" i="27"/>
  <c r="G242" i="27"/>
  <c r="G204" i="27"/>
  <c r="G200" i="27"/>
  <c r="G180" i="27"/>
  <c r="G154" i="27"/>
  <c r="G411" i="27"/>
  <c r="G217" i="27"/>
  <c r="G212" i="27"/>
  <c r="G203" i="27"/>
  <c r="G181" i="27"/>
  <c r="G104" i="27"/>
  <c r="G83" i="27"/>
  <c r="G299" i="27"/>
  <c r="G278" i="27"/>
  <c r="G232" i="27"/>
  <c r="G152" i="27"/>
  <c r="G98" i="27"/>
  <c r="G95" i="27"/>
  <c r="G66" i="27"/>
  <c r="G63" i="27"/>
  <c r="G314" i="27"/>
  <c r="G135" i="27"/>
  <c r="G86" i="27"/>
  <c r="G383" i="27"/>
  <c r="G355" i="27"/>
  <c r="G330" i="27"/>
  <c r="G185" i="27"/>
  <c r="G132" i="27"/>
  <c r="G129" i="27"/>
  <c r="G126" i="27"/>
  <c r="G107" i="27"/>
  <c r="G92" i="27"/>
  <c r="G89" i="27"/>
  <c r="G427" i="27"/>
  <c r="G410" i="27"/>
  <c r="G226" i="27"/>
  <c r="G164" i="27"/>
  <c r="G148" i="27"/>
  <c r="G401" i="27"/>
  <c r="G322" i="27"/>
  <c r="G176" i="27"/>
  <c r="G313" i="27"/>
  <c r="G298" i="27"/>
  <c r="G202" i="27"/>
  <c r="G144" i="27"/>
  <c r="G116" i="27"/>
  <c r="G74" i="27"/>
  <c r="G71" i="27"/>
  <c r="G380" i="27"/>
  <c r="G371" i="27"/>
  <c r="G329" i="27"/>
  <c r="G263" i="27"/>
  <c r="G215" i="27"/>
  <c r="G184" i="27"/>
  <c r="G125" i="27"/>
  <c r="G119" i="27"/>
  <c r="G352" i="27"/>
  <c r="G257" i="27"/>
  <c r="G241" i="27"/>
  <c r="G225" i="27"/>
  <c r="G206" i="27"/>
  <c r="G151" i="27"/>
  <c r="G304" i="27"/>
  <c r="G155" i="27"/>
  <c r="G131" i="27"/>
  <c r="G100" i="27"/>
  <c r="G343" i="27"/>
  <c r="G335" i="27"/>
  <c r="G320" i="27"/>
  <c r="G282" i="27"/>
  <c r="G235" i="27"/>
  <c r="G175" i="27"/>
  <c r="G171" i="27"/>
  <c r="G342" i="27"/>
  <c r="G229" i="27"/>
  <c r="G224" i="27"/>
  <c r="G183" i="27"/>
  <c r="G143" i="27"/>
  <c r="G158" i="27"/>
  <c r="G178" i="27"/>
  <c r="G186" i="27"/>
  <c r="G193" i="27"/>
  <c r="G239" i="27"/>
  <c r="G267" i="27"/>
  <c r="G287" i="27"/>
  <c r="G310" i="27"/>
  <c r="G75" i="27"/>
  <c r="G208" i="27"/>
  <c r="G360" i="27"/>
  <c r="G374" i="27"/>
  <c r="G67" i="27"/>
  <c r="G79" i="27"/>
  <c r="G97" i="27"/>
  <c r="G111" i="27"/>
  <c r="G140" i="27"/>
  <c r="G84" i="27"/>
  <c r="G88" i="27"/>
  <c r="G115" i="27"/>
  <c r="G136" i="27"/>
  <c r="E428" i="26"/>
  <c r="E405" i="26"/>
  <c r="E393" i="26"/>
  <c r="E370" i="26"/>
  <c r="E347" i="26"/>
  <c r="E324" i="26"/>
  <c r="E439" i="26"/>
  <c r="E416" i="26"/>
  <c r="E404" i="26"/>
  <c r="E381" i="26"/>
  <c r="E358" i="26"/>
  <c r="E335" i="26"/>
  <c r="E312" i="26"/>
  <c r="E289" i="26"/>
  <c r="E433" i="26"/>
  <c r="E408" i="26"/>
  <c r="E383" i="26"/>
  <c r="E369" i="26"/>
  <c r="E344" i="26"/>
  <c r="E319" i="26"/>
  <c r="E307" i="26"/>
  <c r="E295" i="26"/>
  <c r="L246" i="26"/>
  <c r="L224" i="26"/>
  <c r="L202" i="26"/>
  <c r="L180" i="26"/>
  <c r="L158" i="26"/>
  <c r="L136" i="26"/>
  <c r="L114" i="26"/>
  <c r="L92" i="26"/>
  <c r="L82" i="26"/>
  <c r="K82" i="26" s="1"/>
  <c r="E420" i="26"/>
  <c r="E395" i="26"/>
  <c r="E382" i="26"/>
  <c r="E356" i="26"/>
  <c r="E331" i="26"/>
  <c r="E294" i="26"/>
  <c r="E282" i="26"/>
  <c r="E273" i="26"/>
  <c r="E266" i="26"/>
  <c r="L245" i="26"/>
  <c r="L223" i="26"/>
  <c r="L201" i="26"/>
  <c r="L179" i="26"/>
  <c r="L157" i="26"/>
  <c r="L85" i="26"/>
  <c r="K85" i="26" s="1"/>
  <c r="L100" i="26"/>
  <c r="L123" i="26"/>
  <c r="L146" i="26"/>
  <c r="L170" i="26"/>
  <c r="L194" i="26"/>
  <c r="L218" i="26"/>
  <c r="L242" i="26"/>
  <c r="E263" i="26"/>
  <c r="E308" i="26"/>
  <c r="E321" i="26"/>
  <c r="E349" i="26"/>
  <c r="E363" i="26"/>
  <c r="E390" i="26"/>
  <c r="E432" i="26"/>
  <c r="K640" i="26" l="1"/>
  <c r="D640" i="26" s="1"/>
  <c r="K641" i="26"/>
  <c r="D641" i="26" s="1"/>
  <c r="D638" i="26"/>
  <c r="K465" i="26"/>
  <c r="K466" i="26"/>
  <c r="K467" i="26" s="1"/>
  <c r="K78" i="27"/>
  <c r="J248" i="27"/>
  <c r="G246" i="27"/>
  <c r="G61" i="27"/>
  <c r="J63" i="27"/>
  <c r="K262" i="27"/>
  <c r="K642" i="26" l="1"/>
  <c r="D642" i="26" s="1"/>
  <c r="K643" i="26"/>
  <c r="K468" i="26"/>
  <c r="I63" i="27"/>
  <c r="K79" i="27"/>
  <c r="K263" i="27"/>
  <c r="D643" i="26" l="1"/>
  <c r="K644" i="26"/>
  <c r="K645" i="26"/>
  <c r="D645" i="26" s="1"/>
  <c r="K646" i="26"/>
  <c r="D646" i="26" s="1"/>
  <c r="K469" i="26"/>
  <c r="K470" i="26" s="1"/>
  <c r="K471" i="26" s="1"/>
  <c r="K472" i="26" s="1"/>
  <c r="K264" i="27"/>
  <c r="K265" i="27" s="1"/>
  <c r="K80" i="27"/>
  <c r="K81" i="27" s="1"/>
  <c r="D644" i="26" l="1"/>
  <c r="K647" i="26"/>
  <c r="K648" i="26" s="1"/>
  <c r="K473" i="26"/>
  <c r="K266" i="27"/>
  <c r="K267" i="27" s="1"/>
  <c r="K82" i="27"/>
  <c r="K83" i="27" s="1"/>
  <c r="K84" i="27" s="1"/>
  <c r="K649" i="26" l="1"/>
  <c r="D649" i="26" s="1"/>
  <c r="D648" i="26"/>
  <c r="D647" i="26"/>
  <c r="K268" i="27"/>
  <c r="K269" i="27" s="1"/>
  <c r="K85" i="27"/>
  <c r="K650" i="26" l="1"/>
  <c r="D650" i="26" s="1"/>
  <c r="K651" i="26"/>
  <c r="D651" i="26" s="1"/>
  <c r="K652" i="26"/>
  <c r="K86" i="27"/>
  <c r="K87" i="27" s="1"/>
  <c r="K88" i="27" s="1"/>
  <c r="K270" i="27"/>
  <c r="K271" i="27" s="1"/>
  <c r="D652" i="26" l="1"/>
  <c r="K653" i="26"/>
  <c r="K89" i="27"/>
  <c r="K90" i="27" s="1"/>
  <c r="D271" i="27"/>
  <c r="K272" i="27"/>
  <c r="D653" i="26" l="1"/>
  <c r="K654" i="26"/>
  <c r="K655" i="26" s="1"/>
  <c r="K91" i="27"/>
  <c r="K92" i="27" s="1"/>
  <c r="D272" i="27"/>
  <c r="K273" i="27"/>
  <c r="K656" i="26" l="1"/>
  <c r="D656" i="26" s="1"/>
  <c r="D655" i="26"/>
  <c r="D654" i="26"/>
  <c r="K93" i="27"/>
  <c r="K274" i="27"/>
  <c r="K657" i="26" l="1"/>
  <c r="K94" i="27"/>
  <c r="K275" i="27"/>
  <c r="D657" i="26" l="1"/>
  <c r="K658" i="26"/>
  <c r="D658" i="26" s="1"/>
  <c r="K659" i="26"/>
  <c r="D659" i="26" s="1"/>
  <c r="K95" i="27"/>
  <c r="K96" i="27" s="1"/>
  <c r="K97" i="27" s="1"/>
  <c r="K98" i="27" s="1"/>
  <c r="K99" i="27" s="1"/>
  <c r="K100" i="27" s="1"/>
  <c r="K101" i="27" s="1"/>
  <c r="K102" i="27" s="1"/>
  <c r="K103" i="27" s="1"/>
  <c r="K104" i="27" s="1"/>
  <c r="K105" i="27" s="1"/>
  <c r="K106" i="27" s="1"/>
  <c r="K107" i="27" s="1"/>
  <c r="K108" i="27" s="1"/>
  <c r="K109" i="27" s="1"/>
  <c r="K110" i="27" s="1"/>
  <c r="K111" i="27" s="1"/>
  <c r="K112" i="27" s="1"/>
  <c r="K113" i="27" s="1"/>
  <c r="K114" i="27" s="1"/>
  <c r="K115" i="27" s="1"/>
  <c r="K276" i="27"/>
  <c r="K116" i="27" l="1"/>
  <c r="K117" i="27" s="1"/>
  <c r="K118" i="27" s="1"/>
  <c r="K119" i="27" s="1"/>
  <c r="K120" i="27" s="1"/>
  <c r="K121" i="27" s="1"/>
  <c r="K122" i="27" s="1"/>
  <c r="K123" i="27" s="1"/>
  <c r="K124" i="27" s="1"/>
  <c r="K125" i="27" s="1"/>
  <c r="K126" i="27" s="1"/>
  <c r="K127" i="27" s="1"/>
  <c r="K128" i="27" s="1"/>
  <c r="K129" i="27" s="1"/>
  <c r="K130" i="27" s="1"/>
  <c r="K131" i="27" s="1"/>
  <c r="K132" i="27" s="1"/>
  <c r="K133" i="27" s="1"/>
  <c r="K134" i="27" s="1"/>
  <c r="K135" i="27" s="1"/>
  <c r="K136" i="27" s="1"/>
  <c r="K137" i="27" s="1"/>
  <c r="K138" i="27" s="1"/>
  <c r="K139" i="27" s="1"/>
  <c r="K140" i="27" s="1"/>
  <c r="K141" i="27" s="1"/>
  <c r="K142" i="27" s="1"/>
  <c r="K143" i="27" s="1"/>
  <c r="K144" i="27" s="1"/>
  <c r="K145" i="27" s="1"/>
  <c r="K146" i="27" s="1"/>
  <c r="K147" i="27" s="1"/>
  <c r="K148" i="27" s="1"/>
  <c r="K149" i="27" s="1"/>
  <c r="K150" i="27" s="1"/>
  <c r="K151" i="27" s="1"/>
  <c r="K152" i="27" s="1"/>
  <c r="K153" i="27" s="1"/>
  <c r="K154" i="27" s="1"/>
  <c r="K155" i="27" s="1"/>
  <c r="K156" i="27" s="1"/>
  <c r="K157" i="27" s="1"/>
  <c r="K158" i="27" s="1"/>
  <c r="K159" i="27" s="1"/>
  <c r="K160" i="27" s="1"/>
  <c r="K161" i="27" s="1"/>
  <c r="K162" i="27" s="1"/>
  <c r="K163" i="27" s="1"/>
  <c r="K164" i="27" s="1"/>
  <c r="K165" i="27" s="1"/>
  <c r="K166" i="27" s="1"/>
  <c r="K167" i="27" s="1"/>
  <c r="K168" i="27" s="1"/>
  <c r="K169" i="27" s="1"/>
  <c r="K170" i="27" s="1"/>
  <c r="K171" i="27" s="1"/>
  <c r="K172" i="27" s="1"/>
  <c r="K173" i="27" s="1"/>
  <c r="K174" i="27" s="1"/>
  <c r="K175" i="27" s="1"/>
  <c r="K176" i="27" s="1"/>
  <c r="K177" i="27" s="1"/>
  <c r="K178" i="27" s="1"/>
  <c r="K179" i="27" s="1"/>
  <c r="K180" i="27" s="1"/>
  <c r="K181" i="27" s="1"/>
  <c r="K182" i="27" s="1"/>
  <c r="K183" i="27" s="1"/>
  <c r="K184" i="27" s="1"/>
  <c r="K185" i="27" s="1"/>
  <c r="K186" i="27" s="1"/>
  <c r="K187" i="27" s="1"/>
  <c r="K188" i="27" s="1"/>
  <c r="K189" i="27" s="1"/>
  <c r="K190" i="27" s="1"/>
  <c r="K191" i="27" s="1"/>
  <c r="K192" i="27" s="1"/>
  <c r="K193" i="27" s="1"/>
  <c r="K194" i="27" s="1"/>
  <c r="K195" i="27" s="1"/>
  <c r="K196" i="27" s="1"/>
  <c r="K197" i="27" s="1"/>
  <c r="K198" i="27" s="1"/>
  <c r="K199" i="27" s="1"/>
  <c r="K200" i="27" s="1"/>
  <c r="K201" i="27" s="1"/>
  <c r="K202" i="27" s="1"/>
  <c r="K203" i="27" s="1"/>
  <c r="K204" i="27" s="1"/>
  <c r="K205" i="27" s="1"/>
  <c r="K206" i="27" s="1"/>
  <c r="K207" i="27" s="1"/>
  <c r="K208" i="27" s="1"/>
  <c r="K209" i="27" s="1"/>
  <c r="K210" i="27" s="1"/>
  <c r="K211" i="27" s="1"/>
  <c r="K212" i="27" s="1"/>
  <c r="K213" i="27" s="1"/>
  <c r="K214" i="27" s="1"/>
  <c r="K215" i="27" s="1"/>
  <c r="K216" i="27" s="1"/>
  <c r="K217" i="27" s="1"/>
  <c r="K218" i="27" s="1"/>
  <c r="K219" i="27" s="1"/>
  <c r="K220" i="27" s="1"/>
  <c r="K221" i="27" s="1"/>
  <c r="K222" i="27" s="1"/>
  <c r="K223" i="27" s="1"/>
  <c r="K224" i="27" s="1"/>
  <c r="K225" i="27" s="1"/>
  <c r="K226" i="27" s="1"/>
  <c r="K227" i="27" s="1"/>
  <c r="K228" i="27" s="1"/>
  <c r="K229" i="27" s="1"/>
  <c r="K230" i="27" s="1"/>
  <c r="K231" i="27" s="1"/>
  <c r="K232" i="27" s="1"/>
  <c r="K233" i="27" s="1"/>
  <c r="K234" i="27" s="1"/>
  <c r="K235" i="27" s="1"/>
  <c r="K236" i="27" s="1"/>
  <c r="K237" i="27" s="1"/>
  <c r="K238" i="27" s="1"/>
  <c r="K239" i="27" s="1"/>
  <c r="K240" i="27" s="1"/>
  <c r="K241" i="27" s="1"/>
  <c r="K242" i="27" s="1"/>
  <c r="K277" i="27"/>
  <c r="K243" i="27" l="1"/>
  <c r="K278" i="27"/>
  <c r="K279" i="27" l="1"/>
  <c r="K280" i="27" l="1"/>
  <c r="K281" i="27" l="1"/>
  <c r="K282" i="27" l="1"/>
  <c r="K283" i="27" l="1"/>
  <c r="D283" i="27" l="1"/>
  <c r="K284" i="27"/>
  <c r="D284" i="27" l="1"/>
  <c r="K285" i="27"/>
  <c r="D285" i="27" l="1"/>
  <c r="K286" i="27"/>
  <c r="D286" i="27" l="1"/>
  <c r="K287" i="27"/>
  <c r="D287" i="27" l="1"/>
  <c r="K288" i="27"/>
  <c r="D288" i="27" l="1"/>
  <c r="K289" i="27"/>
  <c r="D289" i="27" l="1"/>
  <c r="K290" i="27"/>
  <c r="D290" i="27" l="1"/>
  <c r="K291" i="27"/>
  <c r="D291" i="27" l="1"/>
  <c r="K292" i="27"/>
  <c r="D292" i="27" l="1"/>
  <c r="K293" i="27"/>
  <c r="D293" i="27" l="1"/>
  <c r="K294" i="27"/>
  <c r="D294" i="27" l="1"/>
  <c r="K295" i="27"/>
  <c r="D295" i="27" l="1"/>
  <c r="K296" i="27"/>
  <c r="D296" i="27" l="1"/>
  <c r="K297" i="27"/>
  <c r="D297" i="27" l="1"/>
  <c r="K298" i="27"/>
  <c r="D298" i="27" l="1"/>
  <c r="K299" i="27"/>
  <c r="D299" i="27" l="1"/>
  <c r="K300" i="27"/>
  <c r="D300" i="27" l="1"/>
  <c r="K301" i="27"/>
  <c r="D301" i="27" l="1"/>
  <c r="K302" i="27"/>
  <c r="D302" i="27" l="1"/>
  <c r="K303" i="27"/>
  <c r="D303" i="27" l="1"/>
  <c r="K304" i="27"/>
  <c r="D304" i="27" l="1"/>
  <c r="K305" i="27"/>
  <c r="D305" i="27" l="1"/>
  <c r="K306" i="27"/>
  <c r="D306" i="27" l="1"/>
  <c r="K307" i="27"/>
  <c r="D307" i="27" l="1"/>
  <c r="K308" i="27"/>
  <c r="D308" i="27" l="1"/>
  <c r="K309" i="27"/>
  <c r="D309" i="27" l="1"/>
  <c r="K310" i="27"/>
  <c r="D310" i="27" l="1"/>
  <c r="K311" i="27"/>
  <c r="D311" i="27" l="1"/>
  <c r="K312" i="27"/>
  <c r="D312" i="27" l="1"/>
  <c r="K313" i="27"/>
  <c r="D313" i="27" l="1"/>
  <c r="K314" i="27"/>
  <c r="D314" i="27" l="1"/>
  <c r="K315" i="27"/>
  <c r="D315" i="27" l="1"/>
  <c r="K316" i="27"/>
  <c r="D316" i="27" l="1"/>
  <c r="K317" i="27"/>
  <c r="D317" i="27" l="1"/>
  <c r="K318" i="27"/>
  <c r="D318" i="27" l="1"/>
  <c r="K319" i="27"/>
  <c r="D319" i="27" l="1"/>
  <c r="K320" i="27"/>
  <c r="D320" i="27" l="1"/>
  <c r="K321" i="27"/>
  <c r="D321" i="27" l="1"/>
  <c r="K322" i="27"/>
  <c r="D322" i="27" l="1"/>
  <c r="K323" i="27"/>
  <c r="D323" i="27" l="1"/>
  <c r="K324" i="27"/>
  <c r="D324" i="27" l="1"/>
  <c r="K325" i="27"/>
  <c r="D325" i="27" l="1"/>
  <c r="K326" i="27"/>
  <c r="D326" i="27" l="1"/>
  <c r="K327" i="27"/>
  <c r="D327" i="27" l="1"/>
  <c r="K328" i="27"/>
  <c r="D328" i="27" l="1"/>
  <c r="K329" i="27"/>
  <c r="D329" i="27" l="1"/>
  <c r="K330" i="27"/>
  <c r="D330" i="27" l="1"/>
  <c r="K331" i="27"/>
  <c r="D331" i="27" l="1"/>
  <c r="K332" i="27"/>
  <c r="D332" i="27" l="1"/>
  <c r="K333" i="27"/>
  <c r="D333" i="27" l="1"/>
  <c r="K334" i="27"/>
  <c r="D334" i="27" l="1"/>
  <c r="K335" i="27"/>
  <c r="D335" i="27" l="1"/>
  <c r="K336" i="27"/>
  <c r="D336" i="27" l="1"/>
  <c r="K337" i="27"/>
  <c r="D337" i="27" l="1"/>
  <c r="K338" i="27"/>
  <c r="D338" i="27" l="1"/>
  <c r="K339" i="27"/>
  <c r="D339" i="27" l="1"/>
  <c r="K340" i="27"/>
  <c r="D340" i="27" l="1"/>
  <c r="K341" i="27"/>
  <c r="D341" i="27" l="1"/>
  <c r="K342" i="27"/>
  <c r="D342" i="27" l="1"/>
  <c r="K343" i="27"/>
  <c r="D343" i="27" l="1"/>
  <c r="K344" i="27"/>
  <c r="D344" i="27" l="1"/>
  <c r="K345" i="27"/>
  <c r="D345" i="27" l="1"/>
  <c r="K346" i="27"/>
  <c r="D346" i="27" l="1"/>
  <c r="K347" i="27"/>
  <c r="D347" i="27" l="1"/>
  <c r="K348" i="27"/>
  <c r="D348" i="27" l="1"/>
  <c r="K349" i="27"/>
  <c r="D349" i="27" l="1"/>
  <c r="K350" i="27"/>
  <c r="D350" i="27" l="1"/>
  <c r="K351" i="27"/>
  <c r="D351" i="27" l="1"/>
  <c r="K352" i="27"/>
  <c r="D352" i="27" l="1"/>
  <c r="K353" i="27"/>
  <c r="D353" i="27" l="1"/>
  <c r="K354" i="27"/>
  <c r="D354" i="27" l="1"/>
  <c r="K355" i="27"/>
  <c r="D355" i="27" l="1"/>
  <c r="K356" i="27"/>
  <c r="D356" i="27" l="1"/>
  <c r="K357" i="27"/>
  <c r="D357" i="27" l="1"/>
  <c r="K358" i="27"/>
  <c r="D358" i="27" l="1"/>
  <c r="K359" i="27"/>
  <c r="D359" i="27" l="1"/>
  <c r="K360" i="27"/>
  <c r="D360" i="27" l="1"/>
  <c r="K361" i="27"/>
  <c r="D361" i="27" l="1"/>
  <c r="K362" i="27"/>
  <c r="D362" i="27" l="1"/>
  <c r="K363" i="27"/>
  <c r="D363" i="27" l="1"/>
  <c r="K364" i="27"/>
  <c r="D364" i="27" l="1"/>
  <c r="K365" i="27"/>
  <c r="D365" i="27" l="1"/>
  <c r="K366" i="27"/>
  <c r="D366" i="27" l="1"/>
  <c r="K367" i="27"/>
  <c r="D367" i="27" l="1"/>
  <c r="K368" i="27"/>
  <c r="D368" i="27" l="1"/>
  <c r="K369" i="27"/>
  <c r="D369" i="27" l="1"/>
  <c r="K370" i="27"/>
  <c r="D370" i="27" l="1"/>
  <c r="K371" i="27"/>
  <c r="D371" i="27" l="1"/>
  <c r="K372" i="27"/>
  <c r="D372" i="27" l="1"/>
  <c r="K373" i="27"/>
  <c r="D373" i="27" l="1"/>
  <c r="K374" i="27"/>
  <c r="D374" i="27" l="1"/>
  <c r="K375" i="27"/>
  <c r="D375" i="27" l="1"/>
  <c r="K376" i="27"/>
  <c r="D376" i="27" l="1"/>
  <c r="K377" i="27"/>
  <c r="D377" i="27" l="1"/>
  <c r="K378" i="27"/>
  <c r="D378" i="27" l="1"/>
  <c r="K379" i="27"/>
  <c r="D379" i="27" l="1"/>
  <c r="K380" i="27"/>
  <c r="D380" i="27" l="1"/>
  <c r="K381" i="27"/>
  <c r="D381" i="27" l="1"/>
  <c r="K382" i="27"/>
  <c r="D382" i="27" l="1"/>
  <c r="K383" i="27"/>
  <c r="D383" i="27" l="1"/>
  <c r="K384" i="27"/>
  <c r="D384" i="27" l="1"/>
  <c r="K385" i="27"/>
  <c r="D385" i="27" l="1"/>
  <c r="K386" i="27"/>
  <c r="D386" i="27" l="1"/>
  <c r="K387" i="27"/>
  <c r="D387" i="27" l="1"/>
  <c r="K388" i="27"/>
  <c r="D388" i="27" l="1"/>
  <c r="K389" i="27"/>
  <c r="D389" i="27" l="1"/>
  <c r="K390" i="27"/>
  <c r="D390" i="27" l="1"/>
  <c r="K391" i="27"/>
  <c r="D391" i="27" l="1"/>
  <c r="K392" i="27"/>
  <c r="D392" i="27" l="1"/>
  <c r="K393" i="27"/>
  <c r="D393" i="27" l="1"/>
  <c r="K394" i="27"/>
  <c r="D394" i="27" l="1"/>
  <c r="K395" i="27"/>
  <c r="D395" i="27" l="1"/>
  <c r="K396" i="27"/>
  <c r="D396" i="27" l="1"/>
  <c r="K397" i="27"/>
  <c r="D397" i="27" l="1"/>
  <c r="K398" i="27"/>
  <c r="D398" i="27" l="1"/>
  <c r="K399" i="27"/>
  <c r="D399" i="27" l="1"/>
  <c r="K400" i="27"/>
  <c r="D400" i="27" l="1"/>
  <c r="K401" i="27"/>
  <c r="D401" i="27" l="1"/>
  <c r="K402" i="27"/>
  <c r="D402" i="27" l="1"/>
  <c r="K403" i="27"/>
  <c r="D403" i="27" l="1"/>
  <c r="K404" i="27"/>
  <c r="D404" i="27" l="1"/>
  <c r="K405" i="27"/>
  <c r="D405" i="27" l="1"/>
  <c r="K406" i="27"/>
  <c r="D406" i="27" l="1"/>
  <c r="K407" i="27"/>
  <c r="D407" i="27" l="1"/>
  <c r="K408" i="27"/>
  <c r="D408" i="27" l="1"/>
  <c r="K409" i="27"/>
  <c r="D409" i="27" l="1"/>
  <c r="K410" i="27"/>
  <c r="D410" i="27" l="1"/>
  <c r="K411" i="27"/>
  <c r="D411" i="27" l="1"/>
  <c r="K412" i="27"/>
  <c r="D412" i="27" l="1"/>
  <c r="K413" i="27"/>
  <c r="D413" i="27" l="1"/>
  <c r="K414" i="27"/>
  <c r="D414" i="27" l="1"/>
  <c r="K415" i="27"/>
  <c r="D415" i="27" l="1"/>
  <c r="K416" i="27"/>
  <c r="D416" i="27" l="1"/>
  <c r="K417" i="27"/>
  <c r="D417" i="27" l="1"/>
  <c r="K418" i="27"/>
  <c r="D418" i="27" l="1"/>
  <c r="K419" i="27"/>
  <c r="D419" i="27" l="1"/>
  <c r="K420" i="27"/>
  <c r="D420" i="27" l="1"/>
  <c r="K421" i="27"/>
  <c r="D421" i="27" l="1"/>
  <c r="K422" i="27"/>
  <c r="D422" i="27" l="1"/>
  <c r="K423" i="27"/>
  <c r="D423" i="27" l="1"/>
  <c r="K424" i="27"/>
  <c r="D424" i="27" l="1"/>
  <c r="K425" i="27"/>
  <c r="D425" i="27" l="1"/>
  <c r="K426" i="27"/>
  <c r="D426" i="27" l="1"/>
  <c r="K427" i="27"/>
  <c r="K428" i="27" s="1"/>
  <c r="D428" i="27" s="1"/>
  <c r="D427" i="27" l="1"/>
  <c r="D67" i="26" l="1"/>
  <c r="D66" i="26"/>
  <c r="D65" i="26"/>
  <c r="D63" i="26"/>
  <c r="G12" i="26"/>
  <c r="C72" i="2"/>
  <c r="G13" i="26" s="1"/>
  <c r="G716" i="26" l="1"/>
  <c r="G499" i="26"/>
  <c r="G759" i="26"/>
  <c r="G462" i="26"/>
  <c r="G607" i="26"/>
  <c r="G595" i="26"/>
  <c r="G498" i="26"/>
  <c r="G758" i="26"/>
  <c r="G597" i="26"/>
  <c r="G568" i="26"/>
  <c r="G719" i="26"/>
  <c r="G757" i="26"/>
  <c r="G566" i="26"/>
  <c r="G717" i="26"/>
  <c r="G529" i="26"/>
  <c r="G718" i="26"/>
  <c r="G461" i="26"/>
  <c r="G760" i="26"/>
  <c r="G531" i="26"/>
  <c r="G459" i="26"/>
  <c r="G789" i="26"/>
  <c r="G530" i="26"/>
  <c r="G800" i="26"/>
  <c r="G673" i="26"/>
  <c r="G788" i="26"/>
  <c r="G528" i="26"/>
  <c r="G596" i="26"/>
  <c r="G674" i="26"/>
  <c r="G460" i="26"/>
  <c r="G567" i="26"/>
  <c r="G676" i="26"/>
  <c r="G799" i="26"/>
  <c r="G500" i="26"/>
  <c r="G598" i="26"/>
  <c r="G677" i="26"/>
  <c r="G501" i="26"/>
  <c r="G569" i="26"/>
  <c r="G646" i="26"/>
  <c r="G483" i="26"/>
  <c r="G779" i="26"/>
  <c r="G777" i="26"/>
  <c r="G714" i="26"/>
  <c r="G804" i="26"/>
  <c r="G695" i="26"/>
  <c r="G768" i="26"/>
  <c r="G536" i="26"/>
  <c r="G538" i="26"/>
  <c r="G451" i="26"/>
  <c r="G467" i="26"/>
  <c r="G726" i="26"/>
  <c r="G627" i="26"/>
  <c r="G736" i="26"/>
  <c r="G527" i="26"/>
  <c r="G667" i="26"/>
  <c r="G697" i="26"/>
  <c r="G767" i="26"/>
  <c r="G713" i="26"/>
  <c r="G691" i="26"/>
  <c r="G694" i="26"/>
  <c r="G812" i="26"/>
  <c r="G602" i="26"/>
  <c r="G604" i="26"/>
  <c r="G518" i="26"/>
  <c r="G512" i="26"/>
  <c r="G770" i="26"/>
  <c r="G496" i="26"/>
  <c r="G806" i="26"/>
  <c r="G458" i="26"/>
  <c r="G551" i="26"/>
  <c r="G654" i="26"/>
  <c r="G613" i="26"/>
  <c r="G592" i="26"/>
  <c r="G610" i="26"/>
  <c r="G575" i="26"/>
  <c r="G466" i="26"/>
  <c r="G624" i="26"/>
  <c r="G626" i="26"/>
  <c r="G562" i="26"/>
  <c r="G534" i="26"/>
  <c r="G792" i="26"/>
  <c r="G665" i="26"/>
  <c r="G474" i="26"/>
  <c r="G672" i="26"/>
  <c r="G482" i="26"/>
  <c r="G616" i="26"/>
  <c r="G507" i="26"/>
  <c r="G455" i="26"/>
  <c r="G572" i="26"/>
  <c r="G476" i="26"/>
  <c r="G488" i="26"/>
  <c r="G661" i="26"/>
  <c r="G641" i="26"/>
  <c r="G584" i="26"/>
  <c r="G556" i="26"/>
  <c r="G814" i="26"/>
  <c r="G638" i="26"/>
  <c r="G648" i="26"/>
  <c r="G588" i="26"/>
  <c r="G772" i="26"/>
  <c r="G643" i="26"/>
  <c r="G558" i="26"/>
  <c r="G666" i="26"/>
  <c r="G532" i="26"/>
  <c r="G653" i="26"/>
  <c r="G636" i="26"/>
  <c r="G678" i="26"/>
  <c r="G787" i="26"/>
  <c r="G684" i="26"/>
  <c r="G487" i="26"/>
  <c r="G664" i="26"/>
  <c r="G565" i="26"/>
  <c r="G742" i="26"/>
  <c r="G739" i="26"/>
  <c r="G576" i="26"/>
  <c r="G563" i="26"/>
  <c r="G764" i="26"/>
  <c r="G508" i="26"/>
  <c r="G790" i="26"/>
  <c r="G580" i="26"/>
  <c r="G560" i="26"/>
  <c r="G473" i="26"/>
  <c r="G490" i="26"/>
  <c r="G748" i="26"/>
  <c r="G687" i="26"/>
  <c r="G545" i="26"/>
  <c r="G594" i="26"/>
  <c r="G741" i="26"/>
  <c r="G586" i="26"/>
  <c r="G766" i="26"/>
  <c r="G712" i="26"/>
  <c r="G542" i="26"/>
  <c r="G611" i="26"/>
  <c r="G511" i="26"/>
  <c r="G728" i="26"/>
  <c r="G708" i="26"/>
  <c r="G606" i="26"/>
  <c r="G622" i="26"/>
  <c r="G468" i="26"/>
  <c r="G639" i="26"/>
  <c r="G608" i="26"/>
  <c r="G526" i="26"/>
  <c r="G618" i="26"/>
  <c r="G548" i="26"/>
  <c r="G735" i="26"/>
  <c r="G553" i="26"/>
  <c r="G504" i="26"/>
  <c r="G505" i="26"/>
  <c r="G533" i="26"/>
  <c r="G750" i="26"/>
  <c r="G730" i="26"/>
  <c r="G628" i="26"/>
  <c r="G749" i="26"/>
  <c r="G491" i="26"/>
  <c r="G644" i="26"/>
  <c r="G570" i="26"/>
  <c r="G786" i="26"/>
  <c r="G510" i="26"/>
  <c r="G693" i="26"/>
  <c r="G701" i="26"/>
  <c r="G465" i="26"/>
  <c r="G723" i="26"/>
  <c r="G555" i="26"/>
  <c r="G752" i="26"/>
  <c r="G513" i="26"/>
  <c r="G740" i="26"/>
  <c r="G547" i="26"/>
  <c r="G784" i="26"/>
  <c r="G755" i="26"/>
  <c r="G550" i="26"/>
  <c r="G479" i="26"/>
  <c r="G650" i="26"/>
  <c r="G620" i="26"/>
  <c r="G803" i="26"/>
  <c r="G609" i="26"/>
  <c r="G577" i="26"/>
  <c r="G794" i="26"/>
  <c r="G774" i="26"/>
  <c r="G710" i="26"/>
  <c r="G706" i="26"/>
  <c r="G535" i="26"/>
  <c r="G502" i="26"/>
  <c r="G671" i="26"/>
  <c r="G520" i="26"/>
  <c r="G809" i="26"/>
  <c r="G612" i="26"/>
  <c r="G522" i="26"/>
  <c r="G763" i="26"/>
  <c r="G571" i="26"/>
  <c r="G599" i="26"/>
  <c r="G635" i="26"/>
  <c r="G796" i="26"/>
  <c r="G732" i="26"/>
  <c r="G515" i="26"/>
  <c r="G557" i="26"/>
  <c r="G711" i="26"/>
  <c r="G463" i="26"/>
  <c r="G593" i="26"/>
  <c r="G481" i="26"/>
  <c r="G778" i="26"/>
  <c r="G574" i="26"/>
  <c r="G700" i="26"/>
  <c r="G722" i="26"/>
  <c r="G541" i="26"/>
  <c r="G621" i="26"/>
  <c r="G493" i="26"/>
  <c r="G472" i="26"/>
  <c r="G754" i="26"/>
  <c r="G625" i="26"/>
  <c r="G579" i="26"/>
  <c r="G733" i="26"/>
  <c r="G801" i="26"/>
  <c r="G525" i="26"/>
  <c r="G811" i="26"/>
  <c r="G738" i="26"/>
  <c r="G544" i="26"/>
  <c r="G521" i="26"/>
  <c r="G690" i="26"/>
  <c r="G578" i="26"/>
  <c r="G537" i="26"/>
  <c r="G495" i="26"/>
  <c r="G776" i="26"/>
  <c r="G685" i="26"/>
  <c r="G623" i="26"/>
  <c r="G456" i="26"/>
  <c r="G761" i="26"/>
  <c r="G780" i="26"/>
  <c r="G696" i="26"/>
  <c r="G506" i="26"/>
  <c r="G656" i="26"/>
  <c r="G647" i="26"/>
  <c r="G464" i="26"/>
  <c r="G600" i="26"/>
  <c r="G559" i="26"/>
  <c r="G539" i="26"/>
  <c r="G798" i="26"/>
  <c r="G494" i="26"/>
  <c r="G727" i="26"/>
  <c r="G554" i="26"/>
  <c r="G720" i="26"/>
  <c r="G745" i="26"/>
  <c r="G475" i="26"/>
  <c r="G615" i="26"/>
  <c r="G756" i="26"/>
  <c r="G802" i="26"/>
  <c r="G601" i="26"/>
  <c r="G603" i="26"/>
  <c r="G561" i="26"/>
  <c r="G686" i="26"/>
  <c r="G514" i="26"/>
  <c r="G744" i="26"/>
  <c r="G670" i="26"/>
  <c r="G805" i="26"/>
  <c r="G457" i="26"/>
  <c r="G762" i="26"/>
  <c r="G640" i="26"/>
  <c r="G583" i="26"/>
  <c r="G658" i="26"/>
  <c r="G454" i="26"/>
  <c r="G485" i="26"/>
  <c r="G808" i="26"/>
  <c r="G605" i="26"/>
  <c r="G470" i="26"/>
  <c r="G617" i="26"/>
  <c r="G652" i="26"/>
  <c r="G486" i="26"/>
  <c r="G698" i="26"/>
  <c r="G660" i="26"/>
  <c r="G517" i="26"/>
  <c r="G645" i="26"/>
  <c r="G655" i="26"/>
  <c r="G765" i="26"/>
  <c r="G721" i="26"/>
  <c r="G707" i="26"/>
  <c r="G681" i="26"/>
  <c r="G453" i="26"/>
  <c r="G669" i="26"/>
  <c r="G591" i="26"/>
  <c r="G449" i="26"/>
  <c r="G546" i="26"/>
  <c r="G729" i="26"/>
  <c r="G682" i="26"/>
  <c r="G523" i="26"/>
  <c r="G807" i="26"/>
  <c r="G751" i="26"/>
  <c r="G704" i="26"/>
  <c r="G543" i="26"/>
  <c r="G783" i="26"/>
  <c r="G589" i="26"/>
  <c r="G480" i="26"/>
  <c r="G731" i="26"/>
  <c r="G619" i="26"/>
  <c r="G810" i="26"/>
  <c r="G699" i="26"/>
  <c r="G679" i="26"/>
  <c r="G797" i="26"/>
  <c r="G552" i="26"/>
  <c r="G484" i="26"/>
  <c r="G651" i="26"/>
  <c r="G773" i="26"/>
  <c r="G581" i="26"/>
  <c r="G668" i="26"/>
  <c r="G573" i="26"/>
  <c r="G795" i="26"/>
  <c r="G662" i="26"/>
  <c r="G590" i="26"/>
  <c r="G471" i="26"/>
  <c r="G629" i="26"/>
  <c r="G587" i="26"/>
  <c r="G516" i="26"/>
  <c r="G582" i="26"/>
  <c r="G782" i="26"/>
  <c r="G663" i="26"/>
  <c r="G519" i="26"/>
  <c r="G709" i="26"/>
  <c r="G450" i="26"/>
  <c r="G657" i="26"/>
  <c r="G702" i="26"/>
  <c r="G746" i="26"/>
  <c r="G705" i="26"/>
  <c r="G771" i="26"/>
  <c r="G540" i="26"/>
  <c r="G688" i="26"/>
  <c r="G715" i="26"/>
  <c r="G642" i="26"/>
  <c r="G478" i="26"/>
  <c r="G775" i="26"/>
  <c r="G477" i="26"/>
  <c r="G549" i="26"/>
  <c r="G781" i="26"/>
  <c r="G753" i="26"/>
  <c r="G509" i="26"/>
  <c r="G614" i="26"/>
  <c r="G452" i="26"/>
  <c r="G785" i="26"/>
  <c r="G524" i="26"/>
  <c r="G737" i="26"/>
  <c r="G703" i="26"/>
  <c r="G725" i="26"/>
  <c r="G747" i="26"/>
  <c r="G769" i="26"/>
  <c r="G791" i="26"/>
  <c r="G813" i="26"/>
  <c r="G649" i="26"/>
  <c r="G469" i="26"/>
  <c r="G564" i="26"/>
  <c r="G743" i="26"/>
  <c r="G680" i="26"/>
  <c r="G724" i="26"/>
  <c r="G734" i="26"/>
  <c r="G692" i="26"/>
  <c r="G793" i="26"/>
  <c r="G815" i="26"/>
  <c r="G637" i="26"/>
  <c r="G492" i="26"/>
  <c r="G585" i="26"/>
  <c r="G659" i="26"/>
  <c r="K474" i="26"/>
  <c r="K660" i="26"/>
  <c r="G10" i="26"/>
  <c r="D43" i="26" s="1"/>
  <c r="G282" i="26"/>
  <c r="G304" i="26"/>
  <c r="G326" i="26"/>
  <c r="G348" i="26"/>
  <c r="G370" i="26"/>
  <c r="G392" i="26"/>
  <c r="G414" i="26"/>
  <c r="G436" i="26"/>
  <c r="G262" i="26"/>
  <c r="G306" i="26"/>
  <c r="G350" i="26"/>
  <c r="G394" i="26"/>
  <c r="G438" i="26"/>
  <c r="G285" i="26"/>
  <c r="G329" i="26"/>
  <c r="G373" i="26"/>
  <c r="G417" i="26"/>
  <c r="G358" i="26"/>
  <c r="G359" i="26"/>
  <c r="G403" i="26"/>
  <c r="G316" i="26"/>
  <c r="G295" i="26"/>
  <c r="G318" i="26"/>
  <c r="G385" i="26"/>
  <c r="G386" i="26"/>
  <c r="G387" i="26"/>
  <c r="G344" i="26"/>
  <c r="G279" i="26"/>
  <c r="G283" i="26"/>
  <c r="G305" i="26"/>
  <c r="G349" i="26"/>
  <c r="G371" i="26"/>
  <c r="G393" i="26"/>
  <c r="G415" i="26"/>
  <c r="G437" i="26"/>
  <c r="G284" i="26"/>
  <c r="G328" i="26"/>
  <c r="G372" i="26"/>
  <c r="G416" i="26"/>
  <c r="G263" i="26"/>
  <c r="G307" i="26"/>
  <c r="G351" i="26"/>
  <c r="G395" i="26"/>
  <c r="G439" i="26"/>
  <c r="G270" i="26"/>
  <c r="G402" i="26"/>
  <c r="G272" i="26"/>
  <c r="G426" i="26"/>
  <c r="G317" i="26"/>
  <c r="G274" i="26"/>
  <c r="G428" i="26"/>
  <c r="G275" i="26"/>
  <c r="G342" i="26"/>
  <c r="G430" i="26"/>
  <c r="G277" i="26"/>
  <c r="G431" i="26"/>
  <c r="G322" i="26"/>
  <c r="G432" i="26"/>
  <c r="G367" i="26"/>
  <c r="G264" i="26"/>
  <c r="G286" i="26"/>
  <c r="G308" i="26"/>
  <c r="G330" i="26"/>
  <c r="G352" i="26"/>
  <c r="G374" i="26"/>
  <c r="G396" i="26"/>
  <c r="G418" i="26"/>
  <c r="G440" i="26"/>
  <c r="G265" i="26"/>
  <c r="G287" i="26"/>
  <c r="G331" i="26"/>
  <c r="G353" i="26"/>
  <c r="G375" i="26"/>
  <c r="G397" i="26"/>
  <c r="G419" i="26"/>
  <c r="G261" i="26"/>
  <c r="G380" i="26"/>
  <c r="G271" i="26"/>
  <c r="G338" i="26"/>
  <c r="G404" i="26"/>
  <c r="G383" i="26"/>
  <c r="G296" i="26"/>
  <c r="G406" i="26"/>
  <c r="G429" i="26"/>
  <c r="G276" i="26"/>
  <c r="G408" i="26"/>
  <c r="G299" i="26"/>
  <c r="G409" i="26"/>
  <c r="G278" i="26"/>
  <c r="G323" i="26"/>
  <c r="G266" i="26"/>
  <c r="G288" i="26"/>
  <c r="G310" i="26"/>
  <c r="G332" i="26"/>
  <c r="G354" i="26"/>
  <c r="G376" i="26"/>
  <c r="G398" i="26"/>
  <c r="G420" i="26"/>
  <c r="G290" i="26"/>
  <c r="G312" i="26"/>
  <c r="G356" i="26"/>
  <c r="G400" i="26"/>
  <c r="G269" i="26"/>
  <c r="G335" i="26"/>
  <c r="G379" i="26"/>
  <c r="G292" i="26"/>
  <c r="G293" i="26"/>
  <c r="G360" i="26"/>
  <c r="G339" i="26"/>
  <c r="G427" i="26"/>
  <c r="G362" i="26"/>
  <c r="G363" i="26"/>
  <c r="G364" i="26"/>
  <c r="G365" i="26"/>
  <c r="G366" i="26"/>
  <c r="G389" i="26"/>
  <c r="G433" i="26"/>
  <c r="G267" i="26"/>
  <c r="G289" i="26"/>
  <c r="G311" i="26"/>
  <c r="G333" i="26"/>
  <c r="G355" i="26"/>
  <c r="G377" i="26"/>
  <c r="G399" i="26"/>
  <c r="G421" i="26"/>
  <c r="G268" i="26"/>
  <c r="G334" i="26"/>
  <c r="G378" i="26"/>
  <c r="G422" i="26"/>
  <c r="G291" i="26"/>
  <c r="G357" i="26"/>
  <c r="G401" i="26"/>
  <c r="G423" i="26"/>
  <c r="G314" i="26"/>
  <c r="G424" i="26"/>
  <c r="G337" i="26"/>
  <c r="G425" i="26"/>
  <c r="G382" i="26"/>
  <c r="G361" i="26"/>
  <c r="G405" i="26"/>
  <c r="G384" i="26"/>
  <c r="G341" i="26"/>
  <c r="G407" i="26"/>
  <c r="G298" i="26"/>
  <c r="G321" i="26"/>
  <c r="G388" i="26"/>
  <c r="G411" i="26"/>
  <c r="G280" i="26"/>
  <c r="G302" i="26"/>
  <c r="G324" i="26"/>
  <c r="G346" i="26"/>
  <c r="G368" i="26"/>
  <c r="G390" i="26"/>
  <c r="G412" i="26"/>
  <c r="G434" i="26"/>
  <c r="G281" i="26"/>
  <c r="G303" i="26"/>
  <c r="G325" i="26"/>
  <c r="G347" i="26"/>
  <c r="G369" i="26"/>
  <c r="G391" i="26"/>
  <c r="G413" i="26"/>
  <c r="G435" i="26"/>
  <c r="G336" i="26"/>
  <c r="G381" i="26"/>
  <c r="G294" i="26"/>
  <c r="G273" i="26"/>
  <c r="G340" i="26"/>
  <c r="G297" i="26"/>
  <c r="G320" i="26"/>
  <c r="G343" i="26"/>
  <c r="G300" i="26"/>
  <c r="G410" i="26"/>
  <c r="G345" i="26"/>
  <c r="K89" i="26"/>
  <c r="G94" i="26"/>
  <c r="G122" i="26"/>
  <c r="G152" i="26"/>
  <c r="G180" i="26"/>
  <c r="G210" i="26"/>
  <c r="G242" i="26"/>
  <c r="G95" i="26"/>
  <c r="G123" i="26"/>
  <c r="G153" i="26"/>
  <c r="G183" i="26"/>
  <c r="G213" i="26"/>
  <c r="G243" i="26"/>
  <c r="G96" i="26"/>
  <c r="G154" i="26"/>
  <c r="G184" i="26"/>
  <c r="G216" i="26"/>
  <c r="G244" i="26"/>
  <c r="G97" i="26"/>
  <c r="G125" i="26"/>
  <c r="G155" i="26"/>
  <c r="G187" i="26"/>
  <c r="G217" i="26"/>
  <c r="G245" i="26"/>
  <c r="G98" i="26"/>
  <c r="G128" i="26"/>
  <c r="G156" i="26"/>
  <c r="G188" i="26"/>
  <c r="G218" i="26"/>
  <c r="G246" i="26"/>
  <c r="G112" i="26"/>
  <c r="G146" i="26"/>
  <c r="G194" i="26"/>
  <c r="G228" i="26"/>
  <c r="G113" i="26"/>
  <c r="G147" i="26"/>
  <c r="G195" i="26"/>
  <c r="G231" i="26"/>
  <c r="G441" i="26"/>
  <c r="G114" i="26"/>
  <c r="G150" i="26"/>
  <c r="G196" i="26"/>
  <c r="G232" i="26"/>
  <c r="G76" i="26"/>
  <c r="G115" i="26"/>
  <c r="G161" i="26"/>
  <c r="G197" i="26"/>
  <c r="G233" i="26"/>
  <c r="G162" i="26"/>
  <c r="G198" i="26"/>
  <c r="G234" i="26"/>
  <c r="G79" i="26"/>
  <c r="G117" i="26"/>
  <c r="G163" i="26"/>
  <c r="G199" i="26"/>
  <c r="G235" i="26"/>
  <c r="G80" i="26"/>
  <c r="G118" i="26"/>
  <c r="G164" i="26"/>
  <c r="G200" i="26"/>
  <c r="G238" i="26"/>
  <c r="G81" i="26"/>
  <c r="G119" i="26"/>
  <c r="G165" i="26"/>
  <c r="G201" i="26"/>
  <c r="G247" i="26"/>
  <c r="G84" i="26"/>
  <c r="G120" i="26"/>
  <c r="G166" i="26"/>
  <c r="G202" i="26"/>
  <c r="G248" i="26"/>
  <c r="G87" i="26"/>
  <c r="G129" i="26"/>
  <c r="G167" i="26"/>
  <c r="G203" i="26"/>
  <c r="G249" i="26"/>
  <c r="G88" i="26"/>
  <c r="G168" i="26"/>
  <c r="G204" i="26"/>
  <c r="G250" i="26"/>
  <c r="G89" i="26"/>
  <c r="G135" i="26"/>
  <c r="G169" i="26"/>
  <c r="G207" i="26"/>
  <c r="G251" i="26"/>
  <c r="G90" i="26"/>
  <c r="G136" i="26"/>
  <c r="G172" i="26"/>
  <c r="G208" i="26"/>
  <c r="G252" i="26"/>
  <c r="G91" i="26"/>
  <c r="G137" i="26"/>
  <c r="G173" i="26"/>
  <c r="G219" i="26"/>
  <c r="G255" i="26"/>
  <c r="G92" i="26"/>
  <c r="G138" i="26"/>
  <c r="G174" i="26"/>
  <c r="G220" i="26"/>
  <c r="G256" i="26"/>
  <c r="G99" i="26"/>
  <c r="G139" i="26"/>
  <c r="G175" i="26"/>
  <c r="G221" i="26"/>
  <c r="G100" i="26"/>
  <c r="G140" i="26"/>
  <c r="G176" i="26"/>
  <c r="G222" i="26"/>
  <c r="G101" i="26"/>
  <c r="G141" i="26"/>
  <c r="G177" i="26"/>
  <c r="G223" i="26"/>
  <c r="G102" i="26"/>
  <c r="G178" i="26"/>
  <c r="G224" i="26"/>
  <c r="G107" i="26"/>
  <c r="G143" i="26"/>
  <c r="G189" i="26"/>
  <c r="G225" i="26"/>
  <c r="G111" i="26"/>
  <c r="G144" i="26"/>
  <c r="G145" i="26"/>
  <c r="G190" i="26"/>
  <c r="G191" i="26"/>
  <c r="G227" i="26"/>
  <c r="G108" i="26"/>
  <c r="G226" i="26"/>
  <c r="G236" i="26"/>
  <c r="G83" i="26"/>
  <c r="G105" i="26"/>
  <c r="G241" i="26"/>
  <c r="G93" i="26"/>
  <c r="G237" i="26"/>
  <c r="G182" i="26"/>
  <c r="G78" i="26"/>
  <c r="G133" i="26"/>
  <c r="G206" i="26"/>
  <c r="G106" i="26"/>
  <c r="G132" i="26"/>
  <c r="G181" i="26"/>
  <c r="G254" i="26"/>
  <c r="G205" i="26"/>
  <c r="G186" i="26"/>
  <c r="G229" i="26"/>
  <c r="G127" i="26"/>
  <c r="G209" i="26"/>
  <c r="G149" i="26"/>
  <c r="G179" i="26"/>
  <c r="G171" i="26"/>
  <c r="G86" i="26"/>
  <c r="G151" i="26"/>
  <c r="G193" i="26"/>
  <c r="G110" i="26"/>
  <c r="G121" i="26"/>
  <c r="G215" i="26"/>
  <c r="G85" i="26"/>
  <c r="G158" i="26"/>
  <c r="G109" i="26"/>
  <c r="G157" i="26"/>
  <c r="G230" i="26"/>
  <c r="G160" i="26"/>
  <c r="G212" i="26"/>
  <c r="G104" i="26"/>
  <c r="G126" i="26"/>
  <c r="G211" i="26"/>
  <c r="G253" i="26"/>
  <c r="G82" i="26"/>
  <c r="G240" i="26"/>
  <c r="G148" i="26"/>
  <c r="G170" i="26"/>
  <c r="G77" i="26"/>
  <c r="G192" i="26"/>
  <c r="G103" i="26"/>
  <c r="G214" i="26"/>
  <c r="G131" i="26"/>
  <c r="G159" i="26"/>
  <c r="G185" i="26"/>
  <c r="G239" i="26"/>
  <c r="D820" i="26" l="1"/>
  <c r="D660" i="26"/>
  <c r="K661" i="26"/>
  <c r="K662" i="26" s="1"/>
  <c r="D662" i="26" s="1"/>
  <c r="K475" i="26"/>
  <c r="K476" i="26" s="1"/>
  <c r="K477" i="26" s="1"/>
  <c r="K478" i="26" s="1"/>
  <c r="G313" i="26"/>
  <c r="G327" i="26"/>
  <c r="G142" i="26"/>
  <c r="G319" i="26"/>
  <c r="D449" i="26"/>
  <c r="J449" i="26" s="1"/>
  <c r="E635" i="26"/>
  <c r="J635" i="26" s="1"/>
  <c r="J261" i="26"/>
  <c r="G134" i="26"/>
  <c r="K90" i="26"/>
  <c r="J76" i="26"/>
  <c r="D824" i="26" l="1"/>
  <c r="D825" i="26"/>
  <c r="D826" i="26"/>
  <c r="D827" i="26"/>
  <c r="D823" i="26"/>
  <c r="G315" i="26"/>
  <c r="G130" i="26"/>
  <c r="G124" i="26"/>
  <c r="G309" i="26"/>
  <c r="K663" i="26"/>
  <c r="D663" i="26" s="1"/>
  <c r="K479" i="26"/>
  <c r="K480" i="26" s="1"/>
  <c r="K481" i="26" s="1"/>
  <c r="K482" i="26" s="1"/>
  <c r="K483" i="26" s="1"/>
  <c r="K484" i="26" s="1"/>
  <c r="K485" i="26" s="1"/>
  <c r="D661" i="26"/>
  <c r="G301" i="26"/>
  <c r="G116" i="26"/>
  <c r="D273" i="27"/>
  <c r="D274" i="27"/>
  <c r="D275" i="27"/>
  <c r="D276" i="27"/>
  <c r="D277" i="27"/>
  <c r="D278" i="27"/>
  <c r="D279" i="27"/>
  <c r="D280" i="27"/>
  <c r="D281" i="27"/>
  <c r="D282" i="27"/>
  <c r="I633" i="26"/>
  <c r="G36" i="26"/>
  <c r="D261" i="27"/>
  <c r="I246" i="27"/>
  <c r="D262" i="27"/>
  <c r="D264" i="27"/>
  <c r="D263" i="27"/>
  <c r="D267" i="27"/>
  <c r="D265" i="27"/>
  <c r="D266" i="27"/>
  <c r="D268" i="27"/>
  <c r="D269" i="27"/>
  <c r="D270" i="27"/>
  <c r="K91" i="26"/>
  <c r="D22" i="24"/>
  <c r="D22" i="26" l="1"/>
  <c r="G259" i="26"/>
  <c r="G632" i="26" s="1"/>
  <c r="G689" i="26"/>
  <c r="G503" i="26"/>
  <c r="K486" i="26"/>
  <c r="K487" i="26" s="1"/>
  <c r="G74" i="26"/>
  <c r="G446" i="26" s="1"/>
  <c r="K664" i="26"/>
  <c r="D664" i="26" s="1"/>
  <c r="D30" i="27"/>
  <c r="D43" i="27" s="1"/>
  <c r="K92" i="26"/>
  <c r="D24" i="24"/>
  <c r="G43" i="26" l="1"/>
  <c r="G497" i="26" s="1"/>
  <c r="K488" i="26"/>
  <c r="K489" i="26" s="1"/>
  <c r="K665" i="26"/>
  <c r="D665" i="26" s="1"/>
  <c r="D42" i="27"/>
  <c r="D38" i="26"/>
  <c r="G51" i="26" s="1"/>
  <c r="D33" i="27"/>
  <c r="G9" i="27"/>
  <c r="G11" i="27" s="1"/>
  <c r="J350" i="27"/>
  <c r="J293" i="27"/>
  <c r="J254" i="27"/>
  <c r="J305" i="27"/>
  <c r="J279" i="27"/>
  <c r="J252" i="27"/>
  <c r="J339" i="27"/>
  <c r="J326" i="27"/>
  <c r="J419" i="27"/>
  <c r="J271" i="27"/>
  <c r="J373" i="27"/>
  <c r="J301" i="27"/>
  <c r="J362" i="27"/>
  <c r="J249" i="27"/>
  <c r="J368" i="27"/>
  <c r="J292" i="27"/>
  <c r="J265" i="27"/>
  <c r="J402" i="27"/>
  <c r="J420" i="27"/>
  <c r="J410" i="27"/>
  <c r="J328" i="27"/>
  <c r="J307" i="27"/>
  <c r="J379" i="27"/>
  <c r="J353" i="27"/>
  <c r="J387" i="27"/>
  <c r="J289" i="27"/>
  <c r="J380" i="27"/>
  <c r="J264" i="27"/>
  <c r="J296" i="27"/>
  <c r="J366" i="27"/>
  <c r="J365" i="27"/>
  <c r="J262" i="27"/>
  <c r="J352" i="27"/>
  <c r="J417" i="27"/>
  <c r="J344" i="27"/>
  <c r="J343" i="27"/>
  <c r="J393" i="27"/>
  <c r="J383" i="27"/>
  <c r="J287" i="27"/>
  <c r="J336" i="27"/>
  <c r="J267" i="27"/>
  <c r="J300" i="27"/>
  <c r="J299" i="27"/>
  <c r="J418" i="27"/>
  <c r="J323" i="27"/>
  <c r="J390" i="27"/>
  <c r="J258" i="27"/>
  <c r="J412" i="27"/>
  <c r="J278" i="27"/>
  <c r="J400" i="27"/>
  <c r="J414" i="27"/>
  <c r="J291" i="27"/>
  <c r="J385" i="27"/>
  <c r="J345" i="27"/>
  <c r="J256" i="27"/>
  <c r="J341" i="27"/>
  <c r="J346" i="27"/>
  <c r="J333" i="27"/>
  <c r="J413" i="27"/>
  <c r="J356" i="27"/>
  <c r="J426" i="27"/>
  <c r="J421" i="27"/>
  <c r="J269" i="27"/>
  <c r="J320" i="27"/>
  <c r="J391" i="27"/>
  <c r="J404" i="27"/>
  <c r="J363" i="27"/>
  <c r="J384" i="27"/>
  <c r="J286" i="27"/>
  <c r="J312" i="27"/>
  <c r="J382" i="27"/>
  <c r="J358" i="27"/>
  <c r="J376" i="27"/>
  <c r="J361" i="27"/>
  <c r="J275" i="27"/>
  <c r="J325" i="27"/>
  <c r="J266" i="27"/>
  <c r="J303" i="27"/>
  <c r="J425" i="27"/>
  <c r="J316" i="27"/>
  <c r="J310" i="27"/>
  <c r="J401" i="27"/>
  <c r="J304" i="27"/>
  <c r="J283" i="27"/>
  <c r="J281" i="27"/>
  <c r="J403" i="27"/>
  <c r="J294" i="27"/>
  <c r="J297" i="27"/>
  <c r="J395" i="27"/>
  <c r="J423" i="27"/>
  <c r="J270" i="27"/>
  <c r="J259" i="27"/>
  <c r="J405" i="27"/>
  <c r="J284" i="27"/>
  <c r="J348" i="27"/>
  <c r="J308" i="27"/>
  <c r="J351" i="27"/>
  <c r="J377" i="27"/>
  <c r="J416" i="27"/>
  <c r="J364" i="27"/>
  <c r="J280" i="27"/>
  <c r="J282" i="27"/>
  <c r="J319" i="27"/>
  <c r="J394" i="27"/>
  <c r="J332" i="27"/>
  <c r="J367" i="27"/>
  <c r="J315" i="27"/>
  <c r="J298" i="27"/>
  <c r="J399" i="27"/>
  <c r="J311" i="27"/>
  <c r="J374" i="27"/>
  <c r="J317" i="27"/>
  <c r="J274" i="27"/>
  <c r="J411" i="27"/>
  <c r="J260" i="27"/>
  <c r="J397" i="27"/>
  <c r="J392" i="27"/>
  <c r="J375" i="27"/>
  <c r="J409" i="27"/>
  <c r="J371" i="27"/>
  <c r="J408" i="27"/>
  <c r="J324" i="27"/>
  <c r="J388" i="27"/>
  <c r="J355" i="27"/>
  <c r="J340" i="27"/>
  <c r="J331" i="27"/>
  <c r="J285" i="27"/>
  <c r="J251" i="27"/>
  <c r="J272" i="27"/>
  <c r="J309" i="27"/>
  <c r="J273" i="27"/>
  <c r="J342" i="27"/>
  <c r="J386" i="27"/>
  <c r="J322" i="27"/>
  <c r="J321" i="27"/>
  <c r="J250" i="27"/>
  <c r="J349" i="27"/>
  <c r="J330" i="27"/>
  <c r="J422" i="27"/>
  <c r="J277" i="27"/>
  <c r="J276" i="27"/>
  <c r="J378" i="27"/>
  <c r="J255" i="27"/>
  <c r="J253" i="27"/>
  <c r="J313" i="27"/>
  <c r="J407" i="27"/>
  <c r="J334" i="27"/>
  <c r="J261" i="27"/>
  <c r="J389" i="27"/>
  <c r="J369" i="27"/>
  <c r="J335" i="27"/>
  <c r="J347" i="27"/>
  <c r="J290" i="27"/>
  <c r="J360" i="27"/>
  <c r="J354" i="27"/>
  <c r="J327" i="27"/>
  <c r="J314" i="27"/>
  <c r="J329" i="27"/>
  <c r="J357" i="27"/>
  <c r="J268" i="27"/>
  <c r="J338" i="27"/>
  <c r="J318" i="27"/>
  <c r="J306" i="27"/>
  <c r="J406" i="27"/>
  <c r="J424" i="27"/>
  <c r="J295" i="27"/>
  <c r="J398" i="27"/>
  <c r="J381" i="27"/>
  <c r="J359" i="27"/>
  <c r="J370" i="27"/>
  <c r="J396" i="27"/>
  <c r="J337" i="27"/>
  <c r="J302" i="27"/>
  <c r="J257" i="27"/>
  <c r="J263" i="27"/>
  <c r="J415" i="27"/>
  <c r="J372" i="27"/>
  <c r="J288" i="27"/>
  <c r="K93" i="26"/>
  <c r="G675" i="26" l="1"/>
  <c r="G683" i="26"/>
  <c r="G489" i="26"/>
  <c r="G447" i="26" s="1"/>
  <c r="D52" i="26"/>
  <c r="G52" i="26" s="1"/>
  <c r="D51" i="26"/>
  <c r="E76" i="26" s="1"/>
  <c r="D77" i="26" s="1"/>
  <c r="H77" i="26" s="1"/>
  <c r="K490" i="26"/>
  <c r="K491" i="26" s="1"/>
  <c r="K492" i="26" s="1"/>
  <c r="K493" i="26" s="1"/>
  <c r="K666" i="26"/>
  <c r="D666" i="26" s="1"/>
  <c r="G38" i="26"/>
  <c r="L9" i="26" s="1"/>
  <c r="J9" i="26"/>
  <c r="J10" i="26" s="1"/>
  <c r="D41" i="26"/>
  <c r="J427" i="27"/>
  <c r="E63" i="27"/>
  <c r="D64" i="27" s="1"/>
  <c r="H64" i="27" s="1"/>
  <c r="K94" i="26"/>
  <c r="K95" i="26" s="1"/>
  <c r="G633" i="26" l="1"/>
  <c r="I76" i="26"/>
  <c r="D54" i="26"/>
  <c r="E449" i="26"/>
  <c r="D450" i="26" s="1"/>
  <c r="H450" i="26" s="1"/>
  <c r="G54" i="26"/>
  <c r="K667" i="26"/>
  <c r="D667" i="26" s="1"/>
  <c r="K494" i="26"/>
  <c r="K495" i="26" s="1"/>
  <c r="K496" i="26" s="1"/>
  <c r="G41" i="26"/>
  <c r="L10" i="26"/>
  <c r="E77" i="26"/>
  <c r="D78" i="26" s="1"/>
  <c r="H78" i="26" s="1"/>
  <c r="E246" i="27"/>
  <c r="D246" i="27"/>
  <c r="K96" i="26"/>
  <c r="K97" i="26" s="1"/>
  <c r="J77" i="26"/>
  <c r="I450" i="26" l="1"/>
  <c r="I449" i="26"/>
  <c r="K668" i="26"/>
  <c r="K669" i="26" s="1"/>
  <c r="D669" i="26" s="1"/>
  <c r="J669" i="26" s="1"/>
  <c r="K497" i="26"/>
  <c r="J64" i="27"/>
  <c r="I64" i="27"/>
  <c r="J450" i="26"/>
  <c r="E450" i="26"/>
  <c r="D451" i="26" s="1"/>
  <c r="E64" i="27"/>
  <c r="D65" i="27" s="1"/>
  <c r="E78" i="26"/>
  <c r="D79" i="26" s="1"/>
  <c r="H79" i="26" s="1"/>
  <c r="J637" i="26"/>
  <c r="J659" i="26"/>
  <c r="J638" i="26"/>
  <c r="J660" i="26"/>
  <c r="J639" i="26"/>
  <c r="J661" i="26"/>
  <c r="J636" i="26"/>
  <c r="J640" i="26"/>
  <c r="J662" i="26"/>
  <c r="J641" i="26"/>
  <c r="J663" i="26"/>
  <c r="J642" i="26"/>
  <c r="J664" i="26"/>
  <c r="J643" i="26"/>
  <c r="J665" i="26"/>
  <c r="J644" i="26"/>
  <c r="J666" i="26"/>
  <c r="J645" i="26"/>
  <c r="J667" i="26"/>
  <c r="J646" i="26"/>
  <c r="J647" i="26"/>
  <c r="J648" i="26"/>
  <c r="J649" i="26"/>
  <c r="J650" i="26"/>
  <c r="J651" i="26"/>
  <c r="J652" i="26"/>
  <c r="J653" i="26"/>
  <c r="J654" i="26"/>
  <c r="J655" i="26"/>
  <c r="J656" i="26"/>
  <c r="J657" i="26"/>
  <c r="J658" i="26"/>
  <c r="J428" i="27"/>
  <c r="K9" i="27" s="1"/>
  <c r="K11" i="27" s="1"/>
  <c r="K98" i="26"/>
  <c r="K99" i="26" s="1"/>
  <c r="I77" i="26"/>
  <c r="J78" i="26"/>
  <c r="N9" i="26"/>
  <c r="K670" i="26" l="1"/>
  <c r="D670" i="26" s="1"/>
  <c r="J670" i="26" s="1"/>
  <c r="D668" i="26"/>
  <c r="J668" i="26" s="1"/>
  <c r="K498" i="26"/>
  <c r="K499" i="26" s="1"/>
  <c r="K500" i="26" s="1"/>
  <c r="K501" i="26" s="1"/>
  <c r="K502" i="26" s="1"/>
  <c r="K503" i="26" s="1"/>
  <c r="K504" i="26" s="1"/>
  <c r="K505" i="26" s="1"/>
  <c r="K506" i="26" s="1"/>
  <c r="K507" i="26" s="1"/>
  <c r="K508" i="26" s="1"/>
  <c r="H65" i="27"/>
  <c r="E79" i="26"/>
  <c r="D80" i="26" s="1"/>
  <c r="H80" i="26" s="1"/>
  <c r="I79" i="26"/>
  <c r="J246" i="27"/>
  <c r="K100" i="26"/>
  <c r="J79" i="26"/>
  <c r="I78" i="26"/>
  <c r="K671" i="26" l="1"/>
  <c r="D671" i="26" s="1"/>
  <c r="J671" i="26" s="1"/>
  <c r="K509" i="26"/>
  <c r="K510" i="26" s="1"/>
  <c r="K511" i="26" s="1"/>
  <c r="K512" i="26" s="1"/>
  <c r="K513" i="26" s="1"/>
  <c r="K514" i="26" s="1"/>
  <c r="K515" i="26" s="1"/>
  <c r="K516" i="26" s="1"/>
  <c r="K517" i="26" s="1"/>
  <c r="K518" i="26" s="1"/>
  <c r="K519" i="26" s="1"/>
  <c r="K520" i="26" s="1"/>
  <c r="K521" i="26" s="1"/>
  <c r="K522" i="26" s="1"/>
  <c r="K523" i="26" s="1"/>
  <c r="K524" i="26" s="1"/>
  <c r="K525" i="26" s="1"/>
  <c r="K526" i="26" s="1"/>
  <c r="K527" i="26" s="1"/>
  <c r="K528" i="26" s="1"/>
  <c r="K529" i="26" s="1"/>
  <c r="K530" i="26" s="1"/>
  <c r="K531" i="26" s="1"/>
  <c r="K532" i="26" s="1"/>
  <c r="K533" i="26" s="1"/>
  <c r="K534" i="26" s="1"/>
  <c r="K535" i="26" s="1"/>
  <c r="K536" i="26" s="1"/>
  <c r="K537" i="26" s="1"/>
  <c r="K538" i="26" s="1"/>
  <c r="K539" i="26" s="1"/>
  <c r="K540" i="26" s="1"/>
  <c r="K541" i="26" s="1"/>
  <c r="K542" i="26" s="1"/>
  <c r="K543" i="26" s="1"/>
  <c r="K544" i="26" s="1"/>
  <c r="K545" i="26" s="1"/>
  <c r="K546" i="26" s="1"/>
  <c r="K547" i="26" s="1"/>
  <c r="K548" i="26" s="1"/>
  <c r="K549" i="26" s="1"/>
  <c r="K550" i="26" s="1"/>
  <c r="K551" i="26" s="1"/>
  <c r="K552" i="26" s="1"/>
  <c r="K553" i="26" s="1"/>
  <c r="K554" i="26" s="1"/>
  <c r="K555" i="26" s="1"/>
  <c r="K556" i="26" s="1"/>
  <c r="K557" i="26" s="1"/>
  <c r="K558" i="26" s="1"/>
  <c r="K559" i="26" s="1"/>
  <c r="K560" i="26" s="1"/>
  <c r="K561" i="26" s="1"/>
  <c r="K562" i="26" s="1"/>
  <c r="K563" i="26" s="1"/>
  <c r="K564" i="26" s="1"/>
  <c r="K565" i="26" s="1"/>
  <c r="K566" i="26" s="1"/>
  <c r="K567" i="26" s="1"/>
  <c r="K568" i="26" s="1"/>
  <c r="K569" i="26" s="1"/>
  <c r="K570" i="26" s="1"/>
  <c r="K571" i="26" s="1"/>
  <c r="K572" i="26" s="1"/>
  <c r="K573" i="26" s="1"/>
  <c r="K574" i="26" s="1"/>
  <c r="K575" i="26" s="1"/>
  <c r="K576" i="26" s="1"/>
  <c r="K577" i="26" s="1"/>
  <c r="K578" i="26" s="1"/>
  <c r="K579" i="26" s="1"/>
  <c r="K580" i="26" s="1"/>
  <c r="K581" i="26" s="1"/>
  <c r="K582" i="26" s="1"/>
  <c r="K583" i="26" s="1"/>
  <c r="K584" i="26" s="1"/>
  <c r="K585" i="26" s="1"/>
  <c r="K586" i="26" s="1"/>
  <c r="K587" i="26" s="1"/>
  <c r="K588" i="26" s="1"/>
  <c r="K589" i="26" s="1"/>
  <c r="K590" i="26" s="1"/>
  <c r="K591" i="26" s="1"/>
  <c r="K592" i="26" s="1"/>
  <c r="K593" i="26" s="1"/>
  <c r="K594" i="26" s="1"/>
  <c r="K595" i="26" s="1"/>
  <c r="K596" i="26" s="1"/>
  <c r="K597" i="26" s="1"/>
  <c r="K598" i="26" s="1"/>
  <c r="K599" i="26" s="1"/>
  <c r="K600" i="26" s="1"/>
  <c r="K601" i="26" s="1"/>
  <c r="K602" i="26" s="1"/>
  <c r="K603" i="26" s="1"/>
  <c r="K604" i="26" s="1"/>
  <c r="K605" i="26" s="1"/>
  <c r="K606" i="26" s="1"/>
  <c r="K607" i="26" s="1"/>
  <c r="K608" i="26" s="1"/>
  <c r="K609" i="26" s="1"/>
  <c r="K610" i="26" s="1"/>
  <c r="K611" i="26" s="1"/>
  <c r="K612" i="26" s="1"/>
  <c r="K613" i="26" s="1"/>
  <c r="K614" i="26" s="1"/>
  <c r="K615" i="26" s="1"/>
  <c r="K616" i="26" s="1"/>
  <c r="K617" i="26" s="1"/>
  <c r="K618" i="26" s="1"/>
  <c r="K619" i="26" s="1"/>
  <c r="K620" i="26" s="1"/>
  <c r="K621" i="26" s="1"/>
  <c r="K622" i="26" s="1"/>
  <c r="K623" i="26" s="1"/>
  <c r="K624" i="26" s="1"/>
  <c r="K625" i="26" s="1"/>
  <c r="K626" i="26" s="1"/>
  <c r="K627" i="26" s="1"/>
  <c r="K628" i="26" s="1"/>
  <c r="K629" i="26" s="1"/>
  <c r="H451" i="26"/>
  <c r="J65" i="27"/>
  <c r="I65" i="27"/>
  <c r="E65" i="27"/>
  <c r="D66" i="27" s="1"/>
  <c r="J66" i="27" s="1"/>
  <c r="E80" i="26"/>
  <c r="J451" i="26"/>
  <c r="E451" i="26"/>
  <c r="D452" i="26" s="1"/>
  <c r="K101" i="26"/>
  <c r="K102" i="26" s="1"/>
  <c r="J80" i="26"/>
  <c r="K672" i="26" l="1"/>
  <c r="D672" i="26" s="1"/>
  <c r="H452" i="26"/>
  <c r="I452" i="26" s="1"/>
  <c r="I451" i="26"/>
  <c r="D81" i="26"/>
  <c r="H66" i="27"/>
  <c r="I66" i="27" s="1"/>
  <c r="J452" i="26"/>
  <c r="E452" i="26"/>
  <c r="D453" i="26" s="1"/>
  <c r="E66" i="27"/>
  <c r="D67" i="27" s="1"/>
  <c r="K103" i="26"/>
  <c r="K104" i="26" s="1"/>
  <c r="I80" i="26"/>
  <c r="K673" i="26" l="1"/>
  <c r="D673" i="26" s="1"/>
  <c r="H81" i="26"/>
  <c r="E81" i="26"/>
  <c r="J81" i="26"/>
  <c r="H67" i="27"/>
  <c r="J67" i="27"/>
  <c r="K105" i="26"/>
  <c r="K674" i="26" l="1"/>
  <c r="D674" i="26" s="1"/>
  <c r="I81" i="26"/>
  <c r="J453" i="26"/>
  <c r="H453" i="26"/>
  <c r="I453" i="26" s="1"/>
  <c r="D82" i="26"/>
  <c r="H82" i="26" s="1"/>
  <c r="E453" i="26"/>
  <c r="D454" i="26" s="1"/>
  <c r="E67" i="27"/>
  <c r="D68" i="27" s="1"/>
  <c r="H68" i="27" s="1"/>
  <c r="K106" i="26"/>
  <c r="K675" i="26" l="1"/>
  <c r="K676" i="26" s="1"/>
  <c r="D676" i="26" s="1"/>
  <c r="E82" i="26"/>
  <c r="H454" i="26"/>
  <c r="J82" i="26"/>
  <c r="I67" i="27"/>
  <c r="E454" i="26"/>
  <c r="D455" i="26" s="1"/>
  <c r="J454" i="26"/>
  <c r="K107" i="26"/>
  <c r="D675" i="26" l="1"/>
  <c r="D83" i="26"/>
  <c r="E83" i="26" s="1"/>
  <c r="K677" i="26"/>
  <c r="D677" i="26" s="1"/>
  <c r="H455" i="26"/>
  <c r="I82" i="26"/>
  <c r="E68" i="27"/>
  <c r="D69" i="27" s="1"/>
  <c r="H69" i="27" s="1"/>
  <c r="J68" i="27"/>
  <c r="I454" i="26"/>
  <c r="K108" i="26"/>
  <c r="K678" i="26" l="1"/>
  <c r="D678" i="26" s="1"/>
  <c r="D84" i="26"/>
  <c r="J84" i="26" s="1"/>
  <c r="J83" i="26"/>
  <c r="H83" i="26"/>
  <c r="E69" i="27"/>
  <c r="D70" i="27" s="1"/>
  <c r="J70" i="27" s="1"/>
  <c r="J69" i="27"/>
  <c r="J455" i="26"/>
  <c r="I68" i="27"/>
  <c r="E455" i="26"/>
  <c r="K109" i="26"/>
  <c r="H84" i="26" l="1"/>
  <c r="I84" i="26" s="1"/>
  <c r="K679" i="26"/>
  <c r="D679" i="26" s="1"/>
  <c r="I83" i="26"/>
  <c r="E84" i="26"/>
  <c r="D85" i="26" s="1"/>
  <c r="D456" i="26"/>
  <c r="H456" i="26" s="1"/>
  <c r="H70" i="27"/>
  <c r="I70" i="27" s="1"/>
  <c r="E70" i="27"/>
  <c r="D71" i="27" s="1"/>
  <c r="I69" i="27"/>
  <c r="I455" i="26"/>
  <c r="K110" i="26"/>
  <c r="K680" i="26" l="1"/>
  <c r="D680" i="26" s="1"/>
  <c r="H85" i="26"/>
  <c r="I85" i="26" s="1"/>
  <c r="J85" i="26"/>
  <c r="E85" i="26"/>
  <c r="D86" i="26" s="1"/>
  <c r="J86" i="26" s="1"/>
  <c r="J456" i="26"/>
  <c r="H71" i="27"/>
  <c r="E71" i="27"/>
  <c r="D72" i="27" s="1"/>
  <c r="J72" i="27" s="1"/>
  <c r="J71" i="27"/>
  <c r="E456" i="26"/>
  <c r="K111" i="26"/>
  <c r="K681" i="26" l="1"/>
  <c r="D681" i="26" s="1"/>
  <c r="H86" i="26"/>
  <c r="I86" i="26" s="1"/>
  <c r="E86" i="26"/>
  <c r="D87" i="26" s="1"/>
  <c r="D457" i="26"/>
  <c r="H457" i="26" s="1"/>
  <c r="H72" i="27"/>
  <c r="E72" i="27"/>
  <c r="D73" i="27" s="1"/>
  <c r="J73" i="27" s="1"/>
  <c r="I71" i="27"/>
  <c r="I456" i="26"/>
  <c r="K112" i="26"/>
  <c r="K113" i="26" s="1"/>
  <c r="K682" i="26" l="1"/>
  <c r="D682" i="26" s="1"/>
  <c r="H87" i="26"/>
  <c r="I87" i="26" s="1"/>
  <c r="J87" i="26"/>
  <c r="E87" i="26"/>
  <c r="D88" i="26" s="1"/>
  <c r="J457" i="26"/>
  <c r="H73" i="27"/>
  <c r="I457" i="26"/>
  <c r="E457" i="26"/>
  <c r="D458" i="26" s="1"/>
  <c r="E73" i="27"/>
  <c r="D74" i="27" s="1"/>
  <c r="I72" i="27"/>
  <c r="K683" i="26" l="1"/>
  <c r="D683" i="26" s="1"/>
  <c r="H88" i="26"/>
  <c r="I88" i="26" s="1"/>
  <c r="J88" i="26"/>
  <c r="E88" i="26"/>
  <c r="D89" i="26" s="1"/>
  <c r="H74" i="27"/>
  <c r="I73" i="27"/>
  <c r="K114" i="26"/>
  <c r="K684" i="26" l="1"/>
  <c r="D684" i="26" s="1"/>
  <c r="H89" i="26"/>
  <c r="I89" i="26" s="1"/>
  <c r="E89" i="26"/>
  <c r="D90" i="26" s="1"/>
  <c r="E90" i="26" s="1"/>
  <c r="D91" i="26" s="1"/>
  <c r="J89" i="26"/>
  <c r="J458" i="26"/>
  <c r="H458" i="26"/>
  <c r="I458" i="26" s="1"/>
  <c r="E74" i="27"/>
  <c r="D75" i="27" s="1"/>
  <c r="H75" i="27" s="1"/>
  <c r="J74" i="27"/>
  <c r="E458" i="26"/>
  <c r="K115" i="26"/>
  <c r="K685" i="26" l="1"/>
  <c r="D685" i="26" s="1"/>
  <c r="H90" i="26"/>
  <c r="I90" i="26" s="1"/>
  <c r="J90" i="26"/>
  <c r="D459" i="26"/>
  <c r="J459" i="26" s="1"/>
  <c r="E75" i="27"/>
  <c r="D76" i="27" s="1"/>
  <c r="J76" i="27" s="1"/>
  <c r="J75" i="27"/>
  <c r="E91" i="26"/>
  <c r="D92" i="26" s="1"/>
  <c r="I75" i="27"/>
  <c r="I74" i="27"/>
  <c r="K116" i="26"/>
  <c r="J91" i="26"/>
  <c r="K686" i="26" l="1"/>
  <c r="D686" i="26" s="1"/>
  <c r="H91" i="26"/>
  <c r="I91" i="26" s="1"/>
  <c r="E459" i="26"/>
  <c r="D460" i="26" s="1"/>
  <c r="J460" i="26" s="1"/>
  <c r="H459" i="26"/>
  <c r="I459" i="26" s="1"/>
  <c r="H76" i="27"/>
  <c r="I76" i="27" s="1"/>
  <c r="E76" i="27"/>
  <c r="D77" i="27" s="1"/>
  <c r="J77" i="27" s="1"/>
  <c r="E92" i="26"/>
  <c r="D93" i="26" s="1"/>
  <c r="E93" i="26" s="1"/>
  <c r="D94" i="26" s="1"/>
  <c r="K117" i="26"/>
  <c r="J92" i="26"/>
  <c r="K687" i="26" l="1"/>
  <c r="K688" i="26" s="1"/>
  <c r="D688" i="26" s="1"/>
  <c r="H92" i="26"/>
  <c r="I92" i="26" s="1"/>
  <c r="E460" i="26"/>
  <c r="D461" i="26" s="1"/>
  <c r="J461" i="26" s="1"/>
  <c r="H460" i="26"/>
  <c r="I460" i="26" s="1"/>
  <c r="H77" i="27"/>
  <c r="E77" i="27"/>
  <c r="D78" i="27" s="1"/>
  <c r="J78" i="27" s="1"/>
  <c r="K118" i="26"/>
  <c r="E94" i="26"/>
  <c r="D95" i="26" s="1"/>
  <c r="J93" i="26"/>
  <c r="D687" i="26" l="1"/>
  <c r="K689" i="26"/>
  <c r="D689" i="26" s="1"/>
  <c r="H93" i="26"/>
  <c r="H94" i="26" s="1"/>
  <c r="H95" i="26" s="1"/>
  <c r="K690" i="26"/>
  <c r="D690" i="26" s="1"/>
  <c r="E461" i="26"/>
  <c r="D462" i="26" s="1"/>
  <c r="E462" i="26" s="1"/>
  <c r="D463" i="26" s="1"/>
  <c r="H461" i="26"/>
  <c r="I461" i="26" s="1"/>
  <c r="H78" i="27"/>
  <c r="I78" i="27" s="1"/>
  <c r="I77" i="27"/>
  <c r="E78" i="27"/>
  <c r="D79" i="27" s="1"/>
  <c r="J79" i="27" s="1"/>
  <c r="K119" i="26"/>
  <c r="E95" i="26"/>
  <c r="D96" i="26" s="1"/>
  <c r="J94" i="26"/>
  <c r="I94" i="26" l="1"/>
  <c r="I93" i="26"/>
  <c r="K691" i="26"/>
  <c r="K692" i="26" s="1"/>
  <c r="D692" i="26" s="1"/>
  <c r="J462" i="26"/>
  <c r="H462" i="26"/>
  <c r="I462" i="26" s="1"/>
  <c r="H96" i="26"/>
  <c r="H79" i="27"/>
  <c r="E79" i="27"/>
  <c r="I95" i="26"/>
  <c r="K120" i="26"/>
  <c r="E96" i="26"/>
  <c r="D97" i="26" s="1"/>
  <c r="J95" i="26"/>
  <c r="K693" i="26" l="1"/>
  <c r="K694" i="26" s="1"/>
  <c r="D691" i="26"/>
  <c r="H97" i="26"/>
  <c r="H463" i="26"/>
  <c r="I79" i="27"/>
  <c r="D80" i="27"/>
  <c r="H80" i="27" s="1"/>
  <c r="E463" i="26"/>
  <c r="D464" i="26" s="1"/>
  <c r="J463" i="26"/>
  <c r="I96" i="26"/>
  <c r="K121" i="26"/>
  <c r="E97" i="26"/>
  <c r="D98" i="26" s="1"/>
  <c r="J96" i="26"/>
  <c r="K695" i="26" l="1"/>
  <c r="D695" i="26" s="1"/>
  <c r="D693" i="26"/>
  <c r="D694" i="26"/>
  <c r="H98" i="26"/>
  <c r="H464" i="26"/>
  <c r="I463" i="26"/>
  <c r="J80" i="27"/>
  <c r="E80" i="27"/>
  <c r="E464" i="26"/>
  <c r="I80" i="27"/>
  <c r="J464" i="26"/>
  <c r="I97" i="26"/>
  <c r="K122" i="26"/>
  <c r="E98" i="26"/>
  <c r="D99" i="26" s="1"/>
  <c r="J97" i="26"/>
  <c r="K696" i="26" l="1"/>
  <c r="K697" i="26" s="1"/>
  <c r="D697" i="26" s="1"/>
  <c r="H99" i="26"/>
  <c r="D465" i="26"/>
  <c r="J465" i="26" s="1"/>
  <c r="D81" i="27"/>
  <c r="H81" i="27" s="1"/>
  <c r="I464" i="26"/>
  <c r="I98" i="26"/>
  <c r="K123" i="26"/>
  <c r="E99" i="26"/>
  <c r="D100" i="26" s="1"/>
  <c r="J98" i="26"/>
  <c r="D696" i="26" l="1"/>
  <c r="K698" i="26"/>
  <c r="D698" i="26" s="1"/>
  <c r="H100" i="26"/>
  <c r="E465" i="26"/>
  <c r="D466" i="26" s="1"/>
  <c r="J466" i="26" s="1"/>
  <c r="H465" i="26"/>
  <c r="I465" i="26" s="1"/>
  <c r="E81" i="27"/>
  <c r="D82" i="27" s="1"/>
  <c r="H82" i="27" s="1"/>
  <c r="J81" i="27"/>
  <c r="I99" i="26"/>
  <c r="K124" i="26"/>
  <c r="E100" i="26"/>
  <c r="D101" i="26" s="1"/>
  <c r="J99" i="26"/>
  <c r="K699" i="26" l="1"/>
  <c r="K700" i="26" s="1"/>
  <c r="K701" i="26" s="1"/>
  <c r="D701" i="26" s="1"/>
  <c r="H466" i="26"/>
  <c r="H101" i="26"/>
  <c r="E82" i="27"/>
  <c r="D83" i="27" s="1"/>
  <c r="H83" i="27" s="1"/>
  <c r="I81" i="27"/>
  <c r="J82" i="27"/>
  <c r="E466" i="26"/>
  <c r="D467" i="26" s="1"/>
  <c r="I100" i="26"/>
  <c r="K125" i="26"/>
  <c r="E101" i="26"/>
  <c r="D102" i="26" s="1"/>
  <c r="J100" i="26"/>
  <c r="D699" i="26" l="1"/>
  <c r="D700" i="26"/>
  <c r="K702" i="26"/>
  <c r="H102" i="26"/>
  <c r="E83" i="27"/>
  <c r="D84" i="27" s="1"/>
  <c r="J84" i="27" s="1"/>
  <c r="J83" i="27"/>
  <c r="I82" i="27"/>
  <c r="I466" i="26"/>
  <c r="I101" i="26"/>
  <c r="K126" i="26"/>
  <c r="E102" i="26"/>
  <c r="D103" i="26" s="1"/>
  <c r="J101" i="26"/>
  <c r="K703" i="26" l="1"/>
  <c r="D702" i="26"/>
  <c r="H103" i="26"/>
  <c r="J467" i="26"/>
  <c r="H467" i="26"/>
  <c r="I467" i="26" s="1"/>
  <c r="E84" i="27"/>
  <c r="D85" i="27" s="1"/>
  <c r="J85" i="27" s="1"/>
  <c r="H84" i="27"/>
  <c r="I84" i="27" s="1"/>
  <c r="I83" i="27"/>
  <c r="E467" i="26"/>
  <c r="D468" i="26" s="1"/>
  <c r="K127" i="26"/>
  <c r="E103" i="26"/>
  <c r="D104" i="26" s="1"/>
  <c r="J102" i="26"/>
  <c r="D703" i="26" l="1"/>
  <c r="K704" i="26"/>
  <c r="H104" i="26"/>
  <c r="H85" i="27"/>
  <c r="E85" i="27"/>
  <c r="D86" i="27" s="1"/>
  <c r="J86" i="27" s="1"/>
  <c r="H468" i="26"/>
  <c r="K128" i="26"/>
  <c r="E104" i="26"/>
  <c r="D105" i="26" s="1"/>
  <c r="J103" i="26"/>
  <c r="K705" i="26" l="1"/>
  <c r="D704" i="26"/>
  <c r="H105" i="26"/>
  <c r="H86" i="27"/>
  <c r="I86" i="27" s="1"/>
  <c r="E86" i="27"/>
  <c r="D87" i="27" s="1"/>
  <c r="I85" i="27"/>
  <c r="E468" i="26"/>
  <c r="D469" i="26" s="1"/>
  <c r="J468" i="26"/>
  <c r="K129" i="26"/>
  <c r="E105" i="26"/>
  <c r="D106" i="26" s="1"/>
  <c r="J104" i="26"/>
  <c r="K706" i="26" l="1"/>
  <c r="D705" i="26"/>
  <c r="H106" i="26"/>
  <c r="H87" i="27"/>
  <c r="I87" i="27" s="1"/>
  <c r="E87" i="27"/>
  <c r="D88" i="27" s="1"/>
  <c r="J87" i="27"/>
  <c r="I468" i="26"/>
  <c r="H469" i="26"/>
  <c r="K130" i="26"/>
  <c r="E106" i="26"/>
  <c r="D107" i="26" s="1"/>
  <c r="J105" i="26"/>
  <c r="D706" i="26" l="1"/>
  <c r="K707" i="26"/>
  <c r="H107" i="26"/>
  <c r="J88" i="27"/>
  <c r="H88" i="27"/>
  <c r="I469" i="26"/>
  <c r="E469" i="26"/>
  <c r="D470" i="26" s="1"/>
  <c r="J469" i="26"/>
  <c r="E88" i="27"/>
  <c r="K131" i="26"/>
  <c r="E107" i="26"/>
  <c r="D108" i="26" s="1"/>
  <c r="J106" i="26"/>
  <c r="H108" i="26" l="1"/>
  <c r="D707" i="26"/>
  <c r="K708" i="26"/>
  <c r="I88" i="27"/>
  <c r="D89" i="27"/>
  <c r="E89" i="27" s="1"/>
  <c r="H470" i="26"/>
  <c r="K132" i="26"/>
  <c r="E108" i="26"/>
  <c r="D109" i="26" s="1"/>
  <c r="J107" i="26"/>
  <c r="H109" i="26" l="1"/>
  <c r="D708" i="26"/>
  <c r="K709" i="26"/>
  <c r="H89" i="27"/>
  <c r="D90" i="27"/>
  <c r="J90" i="27" s="1"/>
  <c r="I470" i="26"/>
  <c r="E470" i="26"/>
  <c r="D471" i="26" s="1"/>
  <c r="J470" i="26"/>
  <c r="J89" i="27"/>
  <c r="K133" i="26"/>
  <c r="E109" i="26"/>
  <c r="D110" i="26" s="1"/>
  <c r="J108" i="26"/>
  <c r="H110" i="26" l="1"/>
  <c r="K710" i="26"/>
  <c r="D709" i="26"/>
  <c r="H90" i="27"/>
  <c r="H471" i="26"/>
  <c r="E90" i="27"/>
  <c r="D91" i="27" s="1"/>
  <c r="I89" i="27"/>
  <c r="K134" i="26"/>
  <c r="E110" i="26"/>
  <c r="D111" i="26" s="1"/>
  <c r="J109" i="26"/>
  <c r="H111" i="26" l="1"/>
  <c r="D710" i="26"/>
  <c r="K711" i="26"/>
  <c r="H91" i="27"/>
  <c r="I90" i="27"/>
  <c r="I471" i="26"/>
  <c r="E471" i="26"/>
  <c r="D472" i="26" s="1"/>
  <c r="J471" i="26"/>
  <c r="K135" i="26"/>
  <c r="E111" i="26"/>
  <c r="D112" i="26" s="1"/>
  <c r="H112" i="26" l="1"/>
  <c r="K712" i="26"/>
  <c r="D711" i="26"/>
  <c r="I91" i="27"/>
  <c r="J91" i="27"/>
  <c r="E91" i="27"/>
  <c r="D92" i="27" s="1"/>
  <c r="H92" i="27" s="1"/>
  <c r="K136" i="26"/>
  <c r="E112" i="26"/>
  <c r="D113" i="26" s="1"/>
  <c r="J111" i="26"/>
  <c r="H113" i="26" l="1"/>
  <c r="D712" i="26"/>
  <c r="K713" i="26"/>
  <c r="E472" i="26"/>
  <c r="D473" i="26" s="1"/>
  <c r="J473" i="26" s="1"/>
  <c r="H472" i="26"/>
  <c r="I92" i="27"/>
  <c r="J92" i="27"/>
  <c r="J472" i="26"/>
  <c r="E92" i="27"/>
  <c r="K137" i="26"/>
  <c r="D713" i="26" l="1"/>
  <c r="K714" i="26"/>
  <c r="H473" i="26"/>
  <c r="D93" i="27"/>
  <c r="H93" i="27" s="1"/>
  <c r="E473" i="26"/>
  <c r="D474" i="26" s="1"/>
  <c r="I472" i="26"/>
  <c r="E113" i="26"/>
  <c r="D114" i="26" s="1"/>
  <c r="H114" i="26" s="1"/>
  <c r="K138" i="26"/>
  <c r="J113" i="26"/>
  <c r="K715" i="26" l="1"/>
  <c r="D714" i="26"/>
  <c r="I93" i="27"/>
  <c r="J93" i="27"/>
  <c r="I473" i="26"/>
  <c r="H474" i="26"/>
  <c r="E93" i="27"/>
  <c r="E114" i="26"/>
  <c r="D115" i="26" s="1"/>
  <c r="H115" i="26" s="1"/>
  <c r="K139" i="26"/>
  <c r="J114" i="26"/>
  <c r="D715" i="26" l="1"/>
  <c r="K716" i="26"/>
  <c r="D94" i="27"/>
  <c r="H94" i="27" s="1"/>
  <c r="I474" i="26"/>
  <c r="E474" i="26"/>
  <c r="D475" i="26" s="1"/>
  <c r="J474" i="26"/>
  <c r="E115" i="26"/>
  <c r="D116" i="26" s="1"/>
  <c r="H116" i="26" s="1"/>
  <c r="K140" i="26"/>
  <c r="J115" i="26"/>
  <c r="D716" i="26" l="1"/>
  <c r="K717" i="26"/>
  <c r="I94" i="27"/>
  <c r="J94" i="27"/>
  <c r="H475" i="26"/>
  <c r="E116" i="26"/>
  <c r="D117" i="26" s="1"/>
  <c r="H117" i="26" s="1"/>
  <c r="E94" i="27"/>
  <c r="K141" i="26"/>
  <c r="D717" i="26" l="1"/>
  <c r="K718" i="26"/>
  <c r="D95" i="27"/>
  <c r="H95" i="27" s="1"/>
  <c r="E475" i="26"/>
  <c r="D476" i="26" s="1"/>
  <c r="I475" i="26"/>
  <c r="J475" i="26"/>
  <c r="E117" i="26"/>
  <c r="D118" i="26" s="1"/>
  <c r="H118" i="26" s="1"/>
  <c r="K142" i="26"/>
  <c r="J117" i="26"/>
  <c r="K719" i="26" l="1"/>
  <c r="D718" i="26"/>
  <c r="I95" i="27"/>
  <c r="J95" i="27"/>
  <c r="E95" i="27"/>
  <c r="H476" i="26"/>
  <c r="E118" i="26"/>
  <c r="D119" i="26" s="1"/>
  <c r="H119" i="26" s="1"/>
  <c r="K143" i="26"/>
  <c r="K720" i="26" l="1"/>
  <c r="D719" i="26"/>
  <c r="D96" i="27"/>
  <c r="H96" i="27" s="1"/>
  <c r="I476" i="26"/>
  <c r="E476" i="26"/>
  <c r="D477" i="26" s="1"/>
  <c r="J476" i="26"/>
  <c r="E119" i="26"/>
  <c r="D120" i="26" s="1"/>
  <c r="H120" i="26" s="1"/>
  <c r="K144" i="26"/>
  <c r="J119" i="26"/>
  <c r="D720" i="26" l="1"/>
  <c r="K721" i="26"/>
  <c r="I96" i="27"/>
  <c r="E96" i="27"/>
  <c r="D97" i="27" s="1"/>
  <c r="J97" i="27" s="1"/>
  <c r="J96" i="27"/>
  <c r="H477" i="26"/>
  <c r="E120" i="26"/>
  <c r="D121" i="26" s="1"/>
  <c r="H121" i="26" s="1"/>
  <c r="K145" i="26"/>
  <c r="J120" i="26"/>
  <c r="D721" i="26" l="1"/>
  <c r="K722" i="26"/>
  <c r="H97" i="27"/>
  <c r="E97" i="27"/>
  <c r="D98" i="27" s="1"/>
  <c r="E477" i="26"/>
  <c r="D478" i="26" s="1"/>
  <c r="I477" i="26"/>
  <c r="J477" i="26"/>
  <c r="E121" i="26"/>
  <c r="D122" i="26" s="1"/>
  <c r="H122" i="26" s="1"/>
  <c r="K146" i="26"/>
  <c r="J121" i="26"/>
  <c r="K723" i="26" l="1"/>
  <c r="D722" i="26"/>
  <c r="H98" i="27"/>
  <c r="I97" i="27"/>
  <c r="H478" i="26"/>
  <c r="J98" i="27"/>
  <c r="E98" i="27"/>
  <c r="E122" i="26"/>
  <c r="D123" i="26" s="1"/>
  <c r="H123" i="26" s="1"/>
  <c r="K147" i="26"/>
  <c r="K148" i="26" s="1"/>
  <c r="K149" i="26" s="1"/>
  <c r="D723" i="26" l="1"/>
  <c r="K724" i="26"/>
  <c r="I98" i="27"/>
  <c r="D99" i="27"/>
  <c r="E99" i="27" s="1"/>
  <c r="D100" i="27" s="1"/>
  <c r="E478" i="26"/>
  <c r="I478" i="26"/>
  <c r="J478" i="26"/>
  <c r="E123" i="26"/>
  <c r="D124" i="26" s="1"/>
  <c r="H124" i="26" s="1"/>
  <c r="K150" i="26"/>
  <c r="J123" i="26"/>
  <c r="D724" i="26" l="1"/>
  <c r="K725" i="26"/>
  <c r="D479" i="26"/>
  <c r="J479" i="26" s="1"/>
  <c r="H99" i="27"/>
  <c r="J99" i="27"/>
  <c r="J100" i="27"/>
  <c r="E100" i="27"/>
  <c r="D101" i="27" s="1"/>
  <c r="E124" i="26"/>
  <c r="D125" i="26" s="1"/>
  <c r="H125" i="26" s="1"/>
  <c r="K151" i="26"/>
  <c r="D725" i="26" l="1"/>
  <c r="K726" i="26"/>
  <c r="E479" i="26"/>
  <c r="D480" i="26" s="1"/>
  <c r="J480" i="26" s="1"/>
  <c r="H479" i="26"/>
  <c r="I479" i="26" s="1"/>
  <c r="H100" i="27"/>
  <c r="I99" i="27"/>
  <c r="J101" i="27"/>
  <c r="E101" i="27"/>
  <c r="D102" i="27" s="1"/>
  <c r="E125" i="26"/>
  <c r="D126" i="26" s="1"/>
  <c r="H126" i="26" s="1"/>
  <c r="K152" i="26"/>
  <c r="J125" i="26"/>
  <c r="D726" i="26" l="1"/>
  <c r="K727" i="26"/>
  <c r="H480" i="26"/>
  <c r="H101" i="27"/>
  <c r="I100" i="27"/>
  <c r="J102" i="27"/>
  <c r="E102" i="27"/>
  <c r="D103" i="27" s="1"/>
  <c r="E480" i="26"/>
  <c r="D481" i="26" s="1"/>
  <c r="E126" i="26"/>
  <c r="D127" i="26" s="1"/>
  <c r="H127" i="26" s="1"/>
  <c r="J126" i="26"/>
  <c r="K153" i="26"/>
  <c r="D727" i="26" l="1"/>
  <c r="K728" i="26"/>
  <c r="H102" i="27"/>
  <c r="I101" i="27"/>
  <c r="E103" i="27"/>
  <c r="D104" i="27" s="1"/>
  <c r="J481" i="26"/>
  <c r="I480" i="26"/>
  <c r="E127" i="26"/>
  <c r="D128" i="26" s="1"/>
  <c r="H128" i="26" s="1"/>
  <c r="K154" i="26"/>
  <c r="J127" i="26"/>
  <c r="K729" i="26" l="1"/>
  <c r="D728" i="26"/>
  <c r="H481" i="26"/>
  <c r="H103" i="27"/>
  <c r="I102" i="27"/>
  <c r="J104" i="27"/>
  <c r="E481" i="26"/>
  <c r="D482" i="26" s="1"/>
  <c r="E128" i="26"/>
  <c r="D129" i="26" s="1"/>
  <c r="H129" i="26" s="1"/>
  <c r="E104" i="27"/>
  <c r="D105" i="27" s="1"/>
  <c r="J128" i="26"/>
  <c r="K155" i="26"/>
  <c r="D729" i="26" l="1"/>
  <c r="K730" i="26"/>
  <c r="H104" i="27"/>
  <c r="I103" i="27"/>
  <c r="J103" i="27" s="1"/>
  <c r="J482" i="26"/>
  <c r="I481" i="26"/>
  <c r="E129" i="26"/>
  <c r="D130" i="26" s="1"/>
  <c r="H130" i="26" s="1"/>
  <c r="K156" i="26"/>
  <c r="J129" i="26"/>
  <c r="K731" i="26" l="1"/>
  <c r="D730" i="26"/>
  <c r="H482" i="26"/>
  <c r="H105" i="27"/>
  <c r="I104" i="27"/>
  <c r="E105" i="27"/>
  <c r="D106" i="27" s="1"/>
  <c r="J105" i="27"/>
  <c r="E482" i="26"/>
  <c r="D483" i="26" s="1"/>
  <c r="E130" i="26"/>
  <c r="D131" i="26" s="1"/>
  <c r="H131" i="26" s="1"/>
  <c r="K157" i="26"/>
  <c r="D731" i="26" l="1"/>
  <c r="K732" i="26"/>
  <c r="H106" i="27"/>
  <c r="I105" i="27"/>
  <c r="E106" i="27"/>
  <c r="D107" i="27" s="1"/>
  <c r="J106" i="27"/>
  <c r="J483" i="26"/>
  <c r="I482" i="26"/>
  <c r="E131" i="26"/>
  <c r="D132" i="26" s="1"/>
  <c r="H132" i="26" s="1"/>
  <c r="K158" i="26"/>
  <c r="J131" i="26"/>
  <c r="K733" i="26" l="1"/>
  <c r="D732" i="26"/>
  <c r="H483" i="26"/>
  <c r="H107" i="27"/>
  <c r="I106" i="27"/>
  <c r="J107" i="27"/>
  <c r="E107" i="27"/>
  <c r="D108" i="27" s="1"/>
  <c r="E483" i="26"/>
  <c r="D484" i="26" s="1"/>
  <c r="E132" i="26"/>
  <c r="D133" i="26" s="1"/>
  <c r="H133" i="26" s="1"/>
  <c r="J132" i="26"/>
  <c r="K159" i="26"/>
  <c r="D733" i="26" l="1"/>
  <c r="K734" i="26"/>
  <c r="H108" i="27"/>
  <c r="I107" i="27"/>
  <c r="J484" i="26"/>
  <c r="I483" i="26"/>
  <c r="E133" i="26"/>
  <c r="D134" i="26" s="1"/>
  <c r="H134" i="26" s="1"/>
  <c r="K160" i="26"/>
  <c r="J133" i="26"/>
  <c r="K735" i="26" l="1"/>
  <c r="D734" i="26"/>
  <c r="H484" i="26"/>
  <c r="I108" i="27"/>
  <c r="E108" i="27"/>
  <c r="D109" i="27" s="1"/>
  <c r="H109" i="27" s="1"/>
  <c r="J108" i="27"/>
  <c r="E484" i="26"/>
  <c r="D485" i="26" s="1"/>
  <c r="E134" i="26"/>
  <c r="D135" i="26" s="1"/>
  <c r="H135" i="26" s="1"/>
  <c r="K161" i="26"/>
  <c r="D735" i="26" l="1"/>
  <c r="K736" i="26"/>
  <c r="E135" i="26"/>
  <c r="D136" i="26" s="1"/>
  <c r="H136" i="26" s="1"/>
  <c r="I109" i="27"/>
  <c r="J109" i="27" s="1"/>
  <c r="E109" i="27"/>
  <c r="D110" i="27" s="1"/>
  <c r="H110" i="27" s="1"/>
  <c r="I484" i="26"/>
  <c r="K162" i="26"/>
  <c r="J135" i="26"/>
  <c r="D736" i="26" l="1"/>
  <c r="K737" i="26"/>
  <c r="H485" i="26"/>
  <c r="E136" i="26"/>
  <c r="D137" i="26" s="1"/>
  <c r="H137" i="26" s="1"/>
  <c r="I110" i="27"/>
  <c r="J110" i="27"/>
  <c r="E110" i="27"/>
  <c r="D111" i="27" s="1"/>
  <c r="H111" i="27" s="1"/>
  <c r="E485" i="26"/>
  <c r="D486" i="26" s="1"/>
  <c r="J486" i="26" s="1"/>
  <c r="K163" i="26"/>
  <c r="K738" i="26" l="1"/>
  <c r="D737" i="26"/>
  <c r="H486" i="26"/>
  <c r="E137" i="26"/>
  <c r="D138" i="26" s="1"/>
  <c r="H138" i="26" s="1"/>
  <c r="I111" i="27"/>
  <c r="I485" i="26"/>
  <c r="J485" i="26" s="1"/>
  <c r="E486" i="26"/>
  <c r="D487" i="26" s="1"/>
  <c r="K164" i="26"/>
  <c r="J137" i="26"/>
  <c r="D738" i="26" l="1"/>
  <c r="K739" i="26"/>
  <c r="E138" i="26"/>
  <c r="D139" i="26" s="1"/>
  <c r="H139" i="26" s="1"/>
  <c r="J111" i="27"/>
  <c r="E111" i="27"/>
  <c r="D112" i="27" s="1"/>
  <c r="H112" i="27" s="1"/>
  <c r="I486" i="26"/>
  <c r="H487" i="26"/>
  <c r="J138" i="26"/>
  <c r="K165" i="26"/>
  <c r="K740" i="26" l="1"/>
  <c r="D740" i="26" s="1"/>
  <c r="D739" i="26"/>
  <c r="E139" i="26"/>
  <c r="D140" i="26" s="1"/>
  <c r="H140" i="26" s="1"/>
  <c r="I112" i="27"/>
  <c r="J112" i="27"/>
  <c r="E112" i="27"/>
  <c r="D113" i="27" s="1"/>
  <c r="H113" i="27" s="1"/>
  <c r="E487" i="26"/>
  <c r="I487" i="26"/>
  <c r="J487" i="26"/>
  <c r="K166" i="26"/>
  <c r="J139" i="26"/>
  <c r="K741" i="26" l="1"/>
  <c r="D741" i="26" s="1"/>
  <c r="D488" i="26"/>
  <c r="J488" i="26" s="1"/>
  <c r="E140" i="26"/>
  <c r="D141" i="26" s="1"/>
  <c r="H141" i="26" s="1"/>
  <c r="I113" i="27"/>
  <c r="J113" i="27"/>
  <c r="E113" i="27"/>
  <c r="D114" i="27" s="1"/>
  <c r="H114" i="27" s="1"/>
  <c r="J140" i="26"/>
  <c r="K167" i="26"/>
  <c r="K742" i="26" l="1"/>
  <c r="K743" i="26" s="1"/>
  <c r="D743" i="26" s="1"/>
  <c r="E488" i="26"/>
  <c r="D489" i="26" s="1"/>
  <c r="H488" i="26"/>
  <c r="E141" i="26"/>
  <c r="D142" i="26" s="1"/>
  <c r="H142" i="26" s="1"/>
  <c r="I114" i="27"/>
  <c r="J114" i="27"/>
  <c r="E114" i="27"/>
  <c r="D115" i="27" s="1"/>
  <c r="H115" i="27" s="1"/>
  <c r="K168" i="26"/>
  <c r="J141" i="26"/>
  <c r="K744" i="26" l="1"/>
  <c r="D744" i="26" s="1"/>
  <c r="D742" i="26"/>
  <c r="H489" i="26"/>
  <c r="I489" i="26" s="1"/>
  <c r="J489" i="26" s="1"/>
  <c r="I488" i="26"/>
  <c r="E142" i="26"/>
  <c r="D143" i="26" s="1"/>
  <c r="H143" i="26" s="1"/>
  <c r="I115" i="27"/>
  <c r="E489" i="26"/>
  <c r="D490" i="26" s="1"/>
  <c r="K169" i="26"/>
  <c r="K745" i="26" l="1"/>
  <c r="D745" i="26" s="1"/>
  <c r="H490" i="26"/>
  <c r="E143" i="26"/>
  <c r="D144" i="26" s="1"/>
  <c r="H144" i="26" s="1"/>
  <c r="J115" i="27"/>
  <c r="E115" i="27"/>
  <c r="D116" i="27" s="1"/>
  <c r="H116" i="27" s="1"/>
  <c r="J143" i="26"/>
  <c r="K170" i="26"/>
  <c r="K746" i="26" l="1"/>
  <c r="D746" i="26" s="1"/>
  <c r="E144" i="26"/>
  <c r="D145" i="26" s="1"/>
  <c r="H145" i="26" s="1"/>
  <c r="H117" i="27"/>
  <c r="I116" i="27"/>
  <c r="J116" i="27"/>
  <c r="E116" i="27"/>
  <c r="I490" i="26"/>
  <c r="E490" i="26"/>
  <c r="D491" i="26" s="1"/>
  <c r="H491" i="26" s="1"/>
  <c r="J490" i="26"/>
  <c r="K171" i="26"/>
  <c r="J144" i="26"/>
  <c r="K747" i="26" l="1"/>
  <c r="K748" i="26" s="1"/>
  <c r="H118" i="27"/>
  <c r="I117" i="27"/>
  <c r="D117" i="27"/>
  <c r="J145" i="26"/>
  <c r="E145" i="26"/>
  <c r="D146" i="26" s="1"/>
  <c r="H146" i="26" s="1"/>
  <c r="K172" i="26"/>
  <c r="D747" i="26" l="1"/>
  <c r="D748" i="26"/>
  <c r="K749" i="26"/>
  <c r="J117" i="27"/>
  <c r="H119" i="27"/>
  <c r="I118" i="27"/>
  <c r="E117" i="27"/>
  <c r="D118" i="27" s="1"/>
  <c r="J118" i="27" s="1"/>
  <c r="I491" i="26"/>
  <c r="E491" i="26"/>
  <c r="D492" i="26" s="1"/>
  <c r="H492" i="26" s="1"/>
  <c r="J491" i="26"/>
  <c r="E146" i="26"/>
  <c r="D147" i="26" s="1"/>
  <c r="H147" i="26" s="1"/>
  <c r="K173" i="26"/>
  <c r="K750" i="26" l="1"/>
  <c r="D749" i="26"/>
  <c r="H120" i="27"/>
  <c r="I119" i="27"/>
  <c r="E118" i="27"/>
  <c r="D119" i="27" s="1"/>
  <c r="J119" i="27" s="1"/>
  <c r="K174" i="26"/>
  <c r="E147" i="26"/>
  <c r="D148" i="26" s="1"/>
  <c r="H148" i="26" s="1"/>
  <c r="J146" i="26"/>
  <c r="K751" i="26" l="1"/>
  <c r="D750" i="26"/>
  <c r="H121" i="27"/>
  <c r="I120" i="27"/>
  <c r="E119" i="27"/>
  <c r="D120" i="27" s="1"/>
  <c r="I492" i="26"/>
  <c r="E492" i="26"/>
  <c r="D493" i="26" s="1"/>
  <c r="H493" i="26" s="1"/>
  <c r="J492" i="26"/>
  <c r="E148" i="26"/>
  <c r="D149" i="26" s="1"/>
  <c r="H149" i="26" s="1"/>
  <c r="J147" i="26"/>
  <c r="K175" i="26"/>
  <c r="K752" i="26" l="1"/>
  <c r="D751" i="26"/>
  <c r="H122" i="27"/>
  <c r="I121" i="27"/>
  <c r="J120" i="27"/>
  <c r="E120" i="27"/>
  <c r="D121" i="27" s="1"/>
  <c r="K176" i="26"/>
  <c r="E149" i="26"/>
  <c r="D150" i="26" s="1"/>
  <c r="H150" i="26" s="1"/>
  <c r="D752" i="26" l="1"/>
  <c r="K753" i="26"/>
  <c r="H123" i="27"/>
  <c r="I122" i="27"/>
  <c r="J121" i="27"/>
  <c r="E121" i="27"/>
  <c r="D122" i="27" s="1"/>
  <c r="I493" i="26"/>
  <c r="E493" i="26"/>
  <c r="D494" i="26" s="1"/>
  <c r="H494" i="26" s="1"/>
  <c r="J493" i="26"/>
  <c r="E150" i="26"/>
  <c r="D151" i="26" s="1"/>
  <c r="H151" i="26" s="1"/>
  <c r="J149" i="26"/>
  <c r="K177" i="26"/>
  <c r="K754" i="26" l="1"/>
  <c r="D753" i="26"/>
  <c r="H124" i="27"/>
  <c r="I123" i="27"/>
  <c r="E151" i="26"/>
  <c r="D152" i="26" s="1"/>
  <c r="H152" i="26" s="1"/>
  <c r="K178" i="26"/>
  <c r="J150" i="26"/>
  <c r="D754" i="26" l="1"/>
  <c r="K755" i="26"/>
  <c r="H125" i="27"/>
  <c r="I124" i="27"/>
  <c r="J122" i="27"/>
  <c r="E122" i="27"/>
  <c r="D123" i="27" s="1"/>
  <c r="I494" i="26"/>
  <c r="E494" i="26"/>
  <c r="D495" i="26" s="1"/>
  <c r="H495" i="26" s="1"/>
  <c r="J494" i="26"/>
  <c r="K179" i="26"/>
  <c r="E152" i="26"/>
  <c r="D153" i="26" s="1"/>
  <c r="H153" i="26" s="1"/>
  <c r="J151" i="26"/>
  <c r="D755" i="26" l="1"/>
  <c r="K756" i="26"/>
  <c r="H126" i="27"/>
  <c r="I125" i="27"/>
  <c r="J123" i="27"/>
  <c r="E123" i="27"/>
  <c r="D124" i="27" s="1"/>
  <c r="E153" i="26"/>
  <c r="D154" i="26" s="1"/>
  <c r="H154" i="26" s="1"/>
  <c r="J152" i="26"/>
  <c r="K180" i="26"/>
  <c r="D756" i="26" l="1"/>
  <c r="K757" i="26"/>
  <c r="D757" i="26" s="1"/>
  <c r="H127" i="27"/>
  <c r="I126" i="27"/>
  <c r="E495" i="26"/>
  <c r="D496" i="26" s="1"/>
  <c r="H496" i="26" s="1"/>
  <c r="I495" i="26"/>
  <c r="J495" i="26"/>
  <c r="K181" i="26"/>
  <c r="E154" i="26"/>
  <c r="D155" i="26" s="1"/>
  <c r="H155" i="26" s="1"/>
  <c r="J153" i="26"/>
  <c r="K758" i="26" l="1"/>
  <c r="K759" i="26" s="1"/>
  <c r="D759" i="26" s="1"/>
  <c r="H128" i="27"/>
  <c r="I127" i="27"/>
  <c r="J124" i="27"/>
  <c r="E124" i="27"/>
  <c r="D125" i="27" s="1"/>
  <c r="E155" i="26"/>
  <c r="D156" i="26" s="1"/>
  <c r="H156" i="26" s="1"/>
  <c r="J154" i="26"/>
  <c r="K182" i="26"/>
  <c r="K760" i="26" l="1"/>
  <c r="K761" i="26" s="1"/>
  <c r="D758" i="26"/>
  <c r="H129" i="27"/>
  <c r="I128" i="27"/>
  <c r="J125" i="27"/>
  <c r="E125" i="27"/>
  <c r="D126" i="27" s="1"/>
  <c r="I496" i="26"/>
  <c r="E496" i="26"/>
  <c r="D497" i="26" s="1"/>
  <c r="H497" i="26" s="1"/>
  <c r="J496" i="26"/>
  <c r="K183" i="26"/>
  <c r="E156" i="26"/>
  <c r="D157" i="26" s="1"/>
  <c r="H157" i="26" s="1"/>
  <c r="J155" i="26"/>
  <c r="D760" i="26" l="1"/>
  <c r="H130" i="27"/>
  <c r="I129" i="27"/>
  <c r="J126" i="27"/>
  <c r="E126" i="27"/>
  <c r="D127" i="27" s="1"/>
  <c r="K762" i="26"/>
  <c r="D761" i="26"/>
  <c r="E157" i="26"/>
  <c r="D158" i="26" s="1"/>
  <c r="H158" i="26" s="1"/>
  <c r="J156" i="26"/>
  <c r="K184" i="26"/>
  <c r="H131" i="27" l="1"/>
  <c r="I130" i="27"/>
  <c r="J127" i="27"/>
  <c r="E127" i="27"/>
  <c r="D128" i="27" s="1"/>
  <c r="I497" i="26"/>
  <c r="J497" i="26" s="1"/>
  <c r="E497" i="26"/>
  <c r="D498" i="26" s="1"/>
  <c r="H498" i="26" s="1"/>
  <c r="K763" i="26"/>
  <c r="D762" i="26"/>
  <c r="K185" i="26"/>
  <c r="E158" i="26"/>
  <c r="D159" i="26" s="1"/>
  <c r="H159" i="26" s="1"/>
  <c r="J157" i="26"/>
  <c r="H132" i="27" l="1"/>
  <c r="I131" i="27"/>
  <c r="J128" i="27"/>
  <c r="E128" i="27"/>
  <c r="D129" i="27" s="1"/>
  <c r="K764" i="26"/>
  <c r="D763" i="26"/>
  <c r="E159" i="26"/>
  <c r="D160" i="26" s="1"/>
  <c r="H160" i="26" s="1"/>
  <c r="J158" i="26"/>
  <c r="K186" i="26"/>
  <c r="H133" i="27" l="1"/>
  <c r="I132" i="27"/>
  <c r="J129" i="27"/>
  <c r="E129" i="27"/>
  <c r="E498" i="26"/>
  <c r="D499" i="26" s="1"/>
  <c r="I498" i="26"/>
  <c r="J498" i="26"/>
  <c r="K765" i="26"/>
  <c r="D764" i="26"/>
  <c r="K187" i="26"/>
  <c r="E160" i="26"/>
  <c r="D161" i="26" s="1"/>
  <c r="H161" i="26" s="1"/>
  <c r="J159" i="26"/>
  <c r="J499" i="26" l="1"/>
  <c r="H499" i="26"/>
  <c r="H134" i="27"/>
  <c r="I133" i="27"/>
  <c r="D130" i="27"/>
  <c r="J130" i="27" s="1"/>
  <c r="E499" i="26"/>
  <c r="K766" i="26"/>
  <c r="D765" i="26"/>
  <c r="E161" i="26"/>
  <c r="D162" i="26" s="1"/>
  <c r="H162" i="26" s="1"/>
  <c r="J160" i="26"/>
  <c r="K188" i="26"/>
  <c r="I499" i="26" l="1"/>
  <c r="D500" i="26"/>
  <c r="J500" i="26" s="1"/>
  <c r="H135" i="27"/>
  <c r="I134" i="27"/>
  <c r="E130" i="27"/>
  <c r="D131" i="27" s="1"/>
  <c r="J131" i="27" s="1"/>
  <c r="K767" i="26"/>
  <c r="D766" i="26"/>
  <c r="K189" i="26"/>
  <c r="E162" i="26"/>
  <c r="D163" i="26" s="1"/>
  <c r="H163" i="26" s="1"/>
  <c r="J161" i="26"/>
  <c r="H500" i="26" l="1"/>
  <c r="E500" i="26"/>
  <c r="D501" i="26" s="1"/>
  <c r="H136" i="27"/>
  <c r="I135" i="27"/>
  <c r="E131" i="27"/>
  <c r="D132" i="27" s="1"/>
  <c r="E132" i="27" s="1"/>
  <c r="D133" i="27" s="1"/>
  <c r="K768" i="26"/>
  <c r="D767" i="26"/>
  <c r="E163" i="26"/>
  <c r="D164" i="26" s="1"/>
  <c r="H164" i="26" s="1"/>
  <c r="J162" i="26"/>
  <c r="K190" i="26"/>
  <c r="H501" i="26" l="1"/>
  <c r="I501" i="26" s="1"/>
  <c r="J501" i="26" s="1"/>
  <c r="I500" i="26"/>
  <c r="J132" i="27"/>
  <c r="H137" i="27"/>
  <c r="I136" i="27"/>
  <c r="J133" i="27"/>
  <c r="E133" i="27"/>
  <c r="D134" i="27" s="1"/>
  <c r="E501" i="26"/>
  <c r="D502" i="26" s="1"/>
  <c r="K769" i="26"/>
  <c r="D768" i="26"/>
  <c r="K191" i="26"/>
  <c r="E164" i="26"/>
  <c r="D165" i="26" s="1"/>
  <c r="H165" i="26" s="1"/>
  <c r="J163" i="26"/>
  <c r="H502" i="26" l="1"/>
  <c r="H138" i="27"/>
  <c r="I137" i="27"/>
  <c r="J134" i="27"/>
  <c r="E134" i="27"/>
  <c r="D135" i="27" s="1"/>
  <c r="K770" i="26"/>
  <c r="D769" i="26"/>
  <c r="E165" i="26"/>
  <c r="D166" i="26" s="1"/>
  <c r="H166" i="26" s="1"/>
  <c r="J164" i="26"/>
  <c r="K192" i="26"/>
  <c r="H139" i="27" l="1"/>
  <c r="I138" i="27"/>
  <c r="J135" i="27"/>
  <c r="E135" i="27"/>
  <c r="D136" i="27" s="1"/>
  <c r="I502" i="26"/>
  <c r="E502" i="26"/>
  <c r="D503" i="26" s="1"/>
  <c r="H503" i="26" s="1"/>
  <c r="J502" i="26"/>
  <c r="K771" i="26"/>
  <c r="D770" i="26"/>
  <c r="K193" i="26"/>
  <c r="E166" i="26"/>
  <c r="D167" i="26" s="1"/>
  <c r="H167" i="26" s="1"/>
  <c r="J165" i="26"/>
  <c r="H140" i="27" l="1"/>
  <c r="I139" i="27"/>
  <c r="J136" i="27"/>
  <c r="E136" i="27"/>
  <c r="D137" i="27" s="1"/>
  <c r="K772" i="26"/>
  <c r="D771" i="26"/>
  <c r="E167" i="26"/>
  <c r="D168" i="26" s="1"/>
  <c r="H168" i="26" s="1"/>
  <c r="J166" i="26"/>
  <c r="K194" i="26"/>
  <c r="H141" i="27" l="1"/>
  <c r="I140" i="27"/>
  <c r="J137" i="27"/>
  <c r="E137" i="27"/>
  <c r="D138" i="27" s="1"/>
  <c r="I503" i="26"/>
  <c r="J503" i="26" s="1"/>
  <c r="E503" i="26"/>
  <c r="D504" i="26" s="1"/>
  <c r="H504" i="26" s="1"/>
  <c r="K773" i="26"/>
  <c r="D772" i="26"/>
  <c r="K195" i="26"/>
  <c r="E168" i="26"/>
  <c r="D169" i="26" s="1"/>
  <c r="H169" i="26" s="1"/>
  <c r="J167" i="26"/>
  <c r="H142" i="27" l="1"/>
  <c r="I141" i="27"/>
  <c r="J138" i="27"/>
  <c r="E138" i="27"/>
  <c r="D139" i="27" s="1"/>
  <c r="K774" i="26"/>
  <c r="D773" i="26"/>
  <c r="E169" i="26"/>
  <c r="D170" i="26" s="1"/>
  <c r="H170" i="26" s="1"/>
  <c r="J168" i="26"/>
  <c r="K196" i="26"/>
  <c r="H143" i="27" l="1"/>
  <c r="I142" i="27"/>
  <c r="E504" i="26"/>
  <c r="D505" i="26" s="1"/>
  <c r="H505" i="26" s="1"/>
  <c r="I504" i="26"/>
  <c r="J504" i="26"/>
  <c r="K775" i="26"/>
  <c r="D774" i="26"/>
  <c r="K197" i="26"/>
  <c r="E170" i="26"/>
  <c r="D171" i="26" s="1"/>
  <c r="H171" i="26" s="1"/>
  <c r="J169" i="26"/>
  <c r="H172" i="26" l="1"/>
  <c r="H144" i="27"/>
  <c r="I143" i="27"/>
  <c r="J139" i="27"/>
  <c r="E139" i="27"/>
  <c r="D140" i="27" s="1"/>
  <c r="K776" i="26"/>
  <c r="D775" i="26"/>
  <c r="E171" i="26"/>
  <c r="D172" i="26" s="1"/>
  <c r="J170" i="26"/>
  <c r="K198" i="26"/>
  <c r="H145" i="27" l="1"/>
  <c r="I144" i="27"/>
  <c r="I505" i="26"/>
  <c r="E505" i="26"/>
  <c r="D506" i="26" s="1"/>
  <c r="H506" i="26" s="1"/>
  <c r="J505" i="26"/>
  <c r="K777" i="26"/>
  <c r="D776" i="26"/>
  <c r="K199" i="26"/>
  <c r="E172" i="26"/>
  <c r="D173" i="26" s="1"/>
  <c r="H173" i="26" s="1"/>
  <c r="J171" i="26"/>
  <c r="H146" i="27" l="1"/>
  <c r="I145" i="27"/>
  <c r="J140" i="27"/>
  <c r="E140" i="27"/>
  <c r="D141" i="27" s="1"/>
  <c r="K778" i="26"/>
  <c r="D777" i="26"/>
  <c r="E173" i="26"/>
  <c r="D174" i="26" s="1"/>
  <c r="H174" i="26" s="1"/>
  <c r="J172" i="26"/>
  <c r="K200" i="26"/>
  <c r="H147" i="27" l="1"/>
  <c r="I146" i="27"/>
  <c r="J141" i="27"/>
  <c r="E141" i="27"/>
  <c r="D142" i="27" s="1"/>
  <c r="I506" i="26"/>
  <c r="E506" i="26"/>
  <c r="D507" i="26" s="1"/>
  <c r="H507" i="26" s="1"/>
  <c r="J506" i="26"/>
  <c r="K779" i="26"/>
  <c r="D778" i="26"/>
  <c r="K201" i="26"/>
  <c r="E174" i="26"/>
  <c r="D175" i="26" s="1"/>
  <c r="H175" i="26" s="1"/>
  <c r="J173" i="26"/>
  <c r="I507" i="26" l="1"/>
  <c r="H148" i="27"/>
  <c r="I147" i="27"/>
  <c r="E507" i="26"/>
  <c r="D508" i="26" s="1"/>
  <c r="H508" i="26" s="1"/>
  <c r="K780" i="26"/>
  <c r="D779" i="26"/>
  <c r="E175" i="26"/>
  <c r="D176" i="26" s="1"/>
  <c r="H176" i="26" s="1"/>
  <c r="J174" i="26"/>
  <c r="K202" i="26"/>
  <c r="I508" i="26" l="1"/>
  <c r="H149" i="27"/>
  <c r="I148" i="27"/>
  <c r="J142" i="27"/>
  <c r="E142" i="27"/>
  <c r="D143" i="27" s="1"/>
  <c r="J508" i="26"/>
  <c r="K781" i="26"/>
  <c r="D780" i="26"/>
  <c r="K203" i="26"/>
  <c r="E176" i="26"/>
  <c r="D177" i="26" s="1"/>
  <c r="H177" i="26" s="1"/>
  <c r="J175" i="26"/>
  <c r="H150" i="27" l="1"/>
  <c r="I149" i="27"/>
  <c r="E508" i="26"/>
  <c r="K782" i="26"/>
  <c r="D781" i="26"/>
  <c r="E177" i="26"/>
  <c r="D178" i="26" s="1"/>
  <c r="H178" i="26" s="1"/>
  <c r="J176" i="26"/>
  <c r="K204" i="26"/>
  <c r="D509" i="26" l="1"/>
  <c r="E509" i="26" s="1"/>
  <c r="D510" i="26" s="1"/>
  <c r="H151" i="27"/>
  <c r="I150" i="27"/>
  <c r="J143" i="27"/>
  <c r="E143" i="27"/>
  <c r="D144" i="27" s="1"/>
  <c r="K783" i="26"/>
  <c r="D782" i="26"/>
  <c r="K205" i="26"/>
  <c r="E178" i="26"/>
  <c r="D179" i="26" s="1"/>
  <c r="H179" i="26" s="1"/>
  <c r="J177" i="26"/>
  <c r="H509" i="26" l="1"/>
  <c r="H152" i="27"/>
  <c r="I151" i="27"/>
  <c r="J144" i="27"/>
  <c r="E144" i="27"/>
  <c r="D145" i="27" s="1"/>
  <c r="J510" i="26"/>
  <c r="K784" i="26"/>
  <c r="D783" i="26"/>
  <c r="E179" i="26"/>
  <c r="D180" i="26" s="1"/>
  <c r="H180" i="26" s="1"/>
  <c r="J178" i="26"/>
  <c r="K206" i="26"/>
  <c r="H510" i="26" l="1"/>
  <c r="I510" i="26" s="1"/>
  <c r="I509" i="26"/>
  <c r="J509" i="26" s="1"/>
  <c r="E510" i="26"/>
  <c r="H153" i="27"/>
  <c r="I152" i="27"/>
  <c r="K785" i="26"/>
  <c r="D784" i="26"/>
  <c r="K207" i="26"/>
  <c r="E180" i="26"/>
  <c r="D181" i="26" s="1"/>
  <c r="H181" i="26" s="1"/>
  <c r="J179" i="26"/>
  <c r="D511" i="26" l="1"/>
  <c r="J511" i="26" s="1"/>
  <c r="H154" i="27"/>
  <c r="I153" i="27"/>
  <c r="J145" i="27"/>
  <c r="E145" i="27"/>
  <c r="D146" i="27" s="1"/>
  <c r="K786" i="26"/>
  <c r="D785" i="26"/>
  <c r="E181" i="26"/>
  <c r="D182" i="26" s="1"/>
  <c r="H182" i="26" s="1"/>
  <c r="J180" i="26"/>
  <c r="K208" i="26"/>
  <c r="E511" i="26" l="1"/>
  <c r="D512" i="26" s="1"/>
  <c r="J512" i="26" s="1"/>
  <c r="H511" i="26"/>
  <c r="H155" i="27"/>
  <c r="I154" i="27"/>
  <c r="J146" i="27"/>
  <c r="E146" i="27"/>
  <c r="D147" i="27" s="1"/>
  <c r="K787" i="26"/>
  <c r="D786" i="26"/>
  <c r="K209" i="26"/>
  <c r="E182" i="26"/>
  <c r="D183" i="26" s="1"/>
  <c r="H183" i="26" s="1"/>
  <c r="J181" i="26"/>
  <c r="H512" i="26" l="1"/>
  <c r="I512" i="26" s="1"/>
  <c r="I511" i="26"/>
  <c r="H156" i="27"/>
  <c r="I155" i="27"/>
  <c r="E512" i="26"/>
  <c r="D513" i="26" s="1"/>
  <c r="K788" i="26"/>
  <c r="D787" i="26"/>
  <c r="E183" i="26"/>
  <c r="D184" i="26" s="1"/>
  <c r="H184" i="26" s="1"/>
  <c r="J182" i="26"/>
  <c r="K210" i="26"/>
  <c r="H513" i="26" l="1"/>
  <c r="H157" i="27"/>
  <c r="I156" i="27"/>
  <c r="J147" i="27"/>
  <c r="E147" i="27"/>
  <c r="D148" i="27" s="1"/>
  <c r="J513" i="26"/>
  <c r="K789" i="26"/>
  <c r="D788" i="26"/>
  <c r="K211" i="26"/>
  <c r="E184" i="26"/>
  <c r="D185" i="26" s="1"/>
  <c r="H185" i="26" s="1"/>
  <c r="J183" i="26"/>
  <c r="I513" i="26" l="1"/>
  <c r="H158" i="27"/>
  <c r="I157" i="27"/>
  <c r="J148" i="27"/>
  <c r="E148" i="27"/>
  <c r="D149" i="27" s="1"/>
  <c r="E513" i="26"/>
  <c r="K790" i="26"/>
  <c r="D789" i="26"/>
  <c r="E185" i="26"/>
  <c r="D186" i="26" s="1"/>
  <c r="H186" i="26" s="1"/>
  <c r="J184" i="26"/>
  <c r="K212" i="26"/>
  <c r="D514" i="26" l="1"/>
  <c r="H159" i="27"/>
  <c r="I158" i="27"/>
  <c r="J149" i="27"/>
  <c r="E149" i="27"/>
  <c r="D150" i="27" s="1"/>
  <c r="K791" i="26"/>
  <c r="D790" i="26"/>
  <c r="K213" i="26"/>
  <c r="E186" i="26"/>
  <c r="D187" i="26" s="1"/>
  <c r="H187" i="26" s="1"/>
  <c r="J185" i="26"/>
  <c r="J514" i="26" l="1"/>
  <c r="H514" i="26"/>
  <c r="E514" i="26"/>
  <c r="D515" i="26" s="1"/>
  <c r="J515" i="26" s="1"/>
  <c r="H160" i="27"/>
  <c r="I159" i="27"/>
  <c r="J150" i="27"/>
  <c r="E150" i="27"/>
  <c r="D151" i="27" s="1"/>
  <c r="K792" i="26"/>
  <c r="D791" i="26"/>
  <c r="E187" i="26"/>
  <c r="D188" i="26" s="1"/>
  <c r="H188" i="26" s="1"/>
  <c r="J186" i="26"/>
  <c r="K214" i="26"/>
  <c r="H515" i="26" l="1"/>
  <c r="I514" i="26"/>
  <c r="H161" i="27"/>
  <c r="I160" i="27"/>
  <c r="E515" i="26"/>
  <c r="K793" i="26"/>
  <c r="D792" i="26"/>
  <c r="K215" i="26"/>
  <c r="E188" i="26"/>
  <c r="D189" i="26" s="1"/>
  <c r="H189" i="26" s="1"/>
  <c r="J187" i="26"/>
  <c r="I515" i="26" l="1"/>
  <c r="D516" i="26"/>
  <c r="J516" i="26" s="1"/>
  <c r="H162" i="27"/>
  <c r="I161" i="27"/>
  <c r="J151" i="27"/>
  <c r="E151" i="27"/>
  <c r="D152" i="27" s="1"/>
  <c r="K794" i="26"/>
  <c r="D793" i="26"/>
  <c r="E189" i="26"/>
  <c r="D190" i="26" s="1"/>
  <c r="H190" i="26" s="1"/>
  <c r="J188" i="26"/>
  <c r="K216" i="26"/>
  <c r="H516" i="26" l="1"/>
  <c r="E516" i="26"/>
  <c r="D517" i="26" s="1"/>
  <c r="J517" i="26" s="1"/>
  <c r="H163" i="27"/>
  <c r="I162" i="27"/>
  <c r="K795" i="26"/>
  <c r="D794" i="26"/>
  <c r="K217" i="26"/>
  <c r="E190" i="26"/>
  <c r="D191" i="26" s="1"/>
  <c r="H191" i="26" s="1"/>
  <c r="J189" i="26"/>
  <c r="H517" i="26" l="1"/>
  <c r="I516" i="26"/>
  <c r="H164" i="27"/>
  <c r="I163" i="27"/>
  <c r="J152" i="27"/>
  <c r="E152" i="27"/>
  <c r="D153" i="27" s="1"/>
  <c r="E517" i="26"/>
  <c r="D518" i="26" s="1"/>
  <c r="K796" i="26"/>
  <c r="D795" i="26"/>
  <c r="E191" i="26"/>
  <c r="D192" i="26" s="1"/>
  <c r="H192" i="26" s="1"/>
  <c r="J190" i="26"/>
  <c r="K218" i="26"/>
  <c r="H518" i="26" l="1"/>
  <c r="I517" i="26"/>
  <c r="H165" i="27"/>
  <c r="I164" i="27"/>
  <c r="J518" i="26"/>
  <c r="K797" i="26"/>
  <c r="D796" i="26"/>
  <c r="E192" i="26"/>
  <c r="D193" i="26" s="1"/>
  <c r="H193" i="26" s="1"/>
  <c r="K219" i="26"/>
  <c r="J191" i="26"/>
  <c r="I518" i="26" l="1"/>
  <c r="H166" i="27"/>
  <c r="I165" i="27"/>
  <c r="J153" i="27"/>
  <c r="E153" i="27"/>
  <c r="D154" i="27" s="1"/>
  <c r="E518" i="26"/>
  <c r="D519" i="26" s="1"/>
  <c r="H519" i="26" s="1"/>
  <c r="K798" i="26"/>
  <c r="D797" i="26"/>
  <c r="K220" i="26"/>
  <c r="J192" i="26"/>
  <c r="I519" i="26" l="1"/>
  <c r="H167" i="27"/>
  <c r="I166" i="27"/>
  <c r="J519" i="26"/>
  <c r="K799" i="26"/>
  <c r="D798" i="26"/>
  <c r="J193" i="26"/>
  <c r="E193" i="26"/>
  <c r="D194" i="26" s="1"/>
  <c r="H194" i="26" s="1"/>
  <c r="K221" i="26"/>
  <c r="H168" i="27" l="1"/>
  <c r="I167" i="27"/>
  <c r="J154" i="27"/>
  <c r="E154" i="27"/>
  <c r="D155" i="27" s="1"/>
  <c r="E519" i="26"/>
  <c r="D520" i="26" s="1"/>
  <c r="H520" i="26" s="1"/>
  <c r="K800" i="26"/>
  <c r="D799" i="26"/>
  <c r="K222" i="26"/>
  <c r="E194" i="26"/>
  <c r="D195" i="26" s="1"/>
  <c r="H195" i="26" s="1"/>
  <c r="I520" i="26" l="1"/>
  <c r="H169" i="27"/>
  <c r="I168" i="27"/>
  <c r="J155" i="27"/>
  <c r="E155" i="27"/>
  <c r="D156" i="27" s="1"/>
  <c r="J520" i="26"/>
  <c r="K801" i="26"/>
  <c r="D800" i="26"/>
  <c r="E195" i="26"/>
  <c r="D196" i="26" s="1"/>
  <c r="H196" i="26" s="1"/>
  <c r="J194" i="26"/>
  <c r="K223" i="26"/>
  <c r="H170" i="27" l="1"/>
  <c r="I169" i="27"/>
  <c r="J156" i="27"/>
  <c r="E156" i="27"/>
  <c r="D157" i="27" s="1"/>
  <c r="E520" i="26"/>
  <c r="D521" i="26" s="1"/>
  <c r="H521" i="26" s="1"/>
  <c r="K802" i="26"/>
  <c r="D801" i="26"/>
  <c r="K224" i="26"/>
  <c r="E196" i="26"/>
  <c r="D197" i="26" s="1"/>
  <c r="H197" i="26" s="1"/>
  <c r="J195" i="26"/>
  <c r="I521" i="26" l="1"/>
  <c r="H171" i="27"/>
  <c r="I170" i="27"/>
  <c r="J521" i="26"/>
  <c r="K803" i="26"/>
  <c r="D802" i="26"/>
  <c r="E197" i="26"/>
  <c r="D198" i="26" s="1"/>
  <c r="H198" i="26" s="1"/>
  <c r="J196" i="26"/>
  <c r="K225" i="26"/>
  <c r="H172" i="27" l="1"/>
  <c r="I171" i="27"/>
  <c r="J157" i="27"/>
  <c r="E157" i="27"/>
  <c r="D158" i="27" s="1"/>
  <c r="E521" i="26"/>
  <c r="D522" i="26" s="1"/>
  <c r="H522" i="26" s="1"/>
  <c r="K804" i="26"/>
  <c r="D803" i="26"/>
  <c r="K226" i="26"/>
  <c r="E198" i="26"/>
  <c r="D199" i="26" s="1"/>
  <c r="H199" i="26" s="1"/>
  <c r="J197" i="26"/>
  <c r="I522" i="26" l="1"/>
  <c r="H173" i="27"/>
  <c r="I172" i="27"/>
  <c r="J522" i="26"/>
  <c r="K805" i="26"/>
  <c r="D804" i="26"/>
  <c r="E199" i="26"/>
  <c r="D200" i="26" s="1"/>
  <c r="H200" i="26" s="1"/>
  <c r="J198" i="26"/>
  <c r="K227" i="26"/>
  <c r="H174" i="27" l="1"/>
  <c r="I173" i="27"/>
  <c r="J158" i="27"/>
  <c r="E158" i="27"/>
  <c r="D159" i="27" s="1"/>
  <c r="E522" i="26"/>
  <c r="D523" i="26" s="1"/>
  <c r="H523" i="26" s="1"/>
  <c r="K806" i="26"/>
  <c r="D805" i="26"/>
  <c r="K228" i="26"/>
  <c r="E200" i="26"/>
  <c r="D201" i="26" s="1"/>
  <c r="H201" i="26" s="1"/>
  <c r="J199" i="26"/>
  <c r="I523" i="26" l="1"/>
  <c r="H175" i="27"/>
  <c r="I174" i="27"/>
  <c r="J523" i="26"/>
  <c r="K807" i="26"/>
  <c r="D806" i="26"/>
  <c r="E201" i="26"/>
  <c r="D202" i="26" s="1"/>
  <c r="H202" i="26" s="1"/>
  <c r="J200" i="26"/>
  <c r="K229" i="26"/>
  <c r="H176" i="27" l="1"/>
  <c r="I175" i="27"/>
  <c r="J159" i="27"/>
  <c r="E159" i="27"/>
  <c r="D160" i="27" s="1"/>
  <c r="E523" i="26"/>
  <c r="D524" i="26" s="1"/>
  <c r="H524" i="26" s="1"/>
  <c r="K808" i="26"/>
  <c r="D807" i="26"/>
  <c r="K230" i="26"/>
  <c r="E202" i="26"/>
  <c r="D203" i="26" s="1"/>
  <c r="H203" i="26" s="1"/>
  <c r="J201" i="26"/>
  <c r="I524" i="26" l="1"/>
  <c r="H177" i="27"/>
  <c r="I176" i="27"/>
  <c r="J160" i="27"/>
  <c r="E160" i="27"/>
  <c r="D161" i="27" s="1"/>
  <c r="J524" i="26"/>
  <c r="K809" i="26"/>
  <c r="D808" i="26"/>
  <c r="E203" i="26"/>
  <c r="D204" i="26" s="1"/>
  <c r="H204" i="26" s="1"/>
  <c r="J202" i="26"/>
  <c r="K231" i="26"/>
  <c r="H178" i="27" l="1"/>
  <c r="I177" i="27"/>
  <c r="E524" i="26"/>
  <c r="D525" i="26" s="1"/>
  <c r="K810" i="26"/>
  <c r="D809" i="26"/>
  <c r="K232" i="26"/>
  <c r="E204" i="26"/>
  <c r="D205" i="26" s="1"/>
  <c r="H205" i="26" s="1"/>
  <c r="J203" i="26"/>
  <c r="J525" i="26" l="1"/>
  <c r="H525" i="26"/>
  <c r="H179" i="27"/>
  <c r="I178" i="27"/>
  <c r="J161" i="27"/>
  <c r="E161" i="27"/>
  <c r="D162" i="27" s="1"/>
  <c r="E525" i="26"/>
  <c r="K811" i="26"/>
  <c r="D810" i="26"/>
  <c r="E205" i="26"/>
  <c r="D206" i="26" s="1"/>
  <c r="H206" i="26" s="1"/>
  <c r="J204" i="26"/>
  <c r="K233" i="26"/>
  <c r="I525" i="26" l="1"/>
  <c r="D526" i="26"/>
  <c r="J526" i="26" s="1"/>
  <c r="H180" i="27"/>
  <c r="I179" i="27"/>
  <c r="K812" i="26"/>
  <c r="D811" i="26"/>
  <c r="K234" i="26"/>
  <c r="J205" i="26"/>
  <c r="H526" i="26" l="1"/>
  <c r="E526" i="26"/>
  <c r="D527" i="26" s="1"/>
  <c r="J527" i="26" s="1"/>
  <c r="H181" i="27"/>
  <c r="I180" i="27"/>
  <c r="J162" i="27"/>
  <c r="E162" i="27"/>
  <c r="D163" i="27" s="1"/>
  <c r="K813" i="26"/>
  <c r="D812" i="26"/>
  <c r="J206" i="26"/>
  <c r="E206" i="26"/>
  <c r="D207" i="26" s="1"/>
  <c r="H207" i="26" s="1"/>
  <c r="K235" i="26"/>
  <c r="H527" i="26" l="1"/>
  <c r="I526" i="26"/>
  <c r="E527" i="26"/>
  <c r="D528" i="26" s="1"/>
  <c r="J528" i="26" s="1"/>
  <c r="H182" i="27"/>
  <c r="I181" i="27"/>
  <c r="K814" i="26"/>
  <c r="D814" i="26" s="1"/>
  <c r="D813" i="26"/>
  <c r="K236" i="26"/>
  <c r="E207" i="26"/>
  <c r="D208" i="26" s="1"/>
  <c r="H208" i="26" s="1"/>
  <c r="H528" i="26" l="1"/>
  <c r="I527" i="26"/>
  <c r="H183" i="27"/>
  <c r="I182" i="27"/>
  <c r="J163" i="27"/>
  <c r="E163" i="27"/>
  <c r="D164" i="27" s="1"/>
  <c r="E528" i="26"/>
  <c r="D529" i="26" s="1"/>
  <c r="E208" i="26"/>
  <c r="D209" i="26" s="1"/>
  <c r="H209" i="26" s="1"/>
  <c r="J207" i="26"/>
  <c r="K237" i="26"/>
  <c r="H529" i="26" l="1"/>
  <c r="I528" i="26"/>
  <c r="H184" i="27"/>
  <c r="I183" i="27"/>
  <c r="J529" i="26"/>
  <c r="K238" i="26"/>
  <c r="E209" i="26"/>
  <c r="D210" i="26" s="1"/>
  <c r="H210" i="26" s="1"/>
  <c r="J208" i="26"/>
  <c r="I529" i="26" l="1"/>
  <c r="H185" i="27"/>
  <c r="I184" i="27"/>
  <c r="J164" i="27"/>
  <c r="E164" i="27"/>
  <c r="D165" i="27" s="1"/>
  <c r="E529" i="26"/>
  <c r="D530" i="26" s="1"/>
  <c r="H530" i="26" s="1"/>
  <c r="E210" i="26"/>
  <c r="D211" i="26" s="1"/>
  <c r="H211" i="26" s="1"/>
  <c r="J209" i="26"/>
  <c r="K239" i="26"/>
  <c r="I530" i="26" l="1"/>
  <c r="H186" i="27"/>
  <c r="I185" i="27"/>
  <c r="J530" i="26"/>
  <c r="K240" i="26"/>
  <c r="J210" i="26"/>
  <c r="H187" i="27" l="1"/>
  <c r="I186" i="27"/>
  <c r="J165" i="27"/>
  <c r="E165" i="27"/>
  <c r="D166" i="27" s="1"/>
  <c r="E530" i="26"/>
  <c r="J211" i="26"/>
  <c r="E211" i="26"/>
  <c r="D212" i="26" s="1"/>
  <c r="H212" i="26" s="1"/>
  <c r="K241" i="26"/>
  <c r="D531" i="26" l="1"/>
  <c r="H188" i="27"/>
  <c r="I187" i="27"/>
  <c r="K242" i="26"/>
  <c r="J531" i="26" l="1"/>
  <c r="H531" i="26"/>
  <c r="E531" i="26"/>
  <c r="D532" i="26" s="1"/>
  <c r="J532" i="26" s="1"/>
  <c r="H189" i="27"/>
  <c r="I188" i="27"/>
  <c r="J166" i="27"/>
  <c r="E166" i="27"/>
  <c r="D167" i="27" s="1"/>
  <c r="J212" i="26"/>
  <c r="E212" i="26"/>
  <c r="D213" i="26" s="1"/>
  <c r="H213" i="26" s="1"/>
  <c r="K243" i="26"/>
  <c r="H532" i="26" l="1"/>
  <c r="I531" i="26"/>
  <c r="H190" i="27"/>
  <c r="I189" i="27"/>
  <c r="E532" i="26"/>
  <c r="D533" i="26" s="1"/>
  <c r="K244" i="26"/>
  <c r="E213" i="26"/>
  <c r="D214" i="26" s="1"/>
  <c r="H214" i="26" s="1"/>
  <c r="H533" i="26" l="1"/>
  <c r="I532" i="26"/>
  <c r="H191" i="27"/>
  <c r="I190" i="27"/>
  <c r="J167" i="27"/>
  <c r="E167" i="27"/>
  <c r="D168" i="27" s="1"/>
  <c r="J533" i="26"/>
  <c r="J213" i="26"/>
  <c r="K245" i="26"/>
  <c r="I533" i="26" l="1"/>
  <c r="H192" i="27"/>
  <c r="I191" i="27"/>
  <c r="E533" i="26"/>
  <c r="K246" i="26"/>
  <c r="J214" i="26"/>
  <c r="E214" i="26"/>
  <c r="D215" i="26" s="1"/>
  <c r="H215" i="26" s="1"/>
  <c r="D534" i="26" l="1"/>
  <c r="H193" i="27"/>
  <c r="I192" i="27"/>
  <c r="J168" i="27"/>
  <c r="E168" i="27"/>
  <c r="D169" i="27" s="1"/>
  <c r="E215" i="26"/>
  <c r="D216" i="26" s="1"/>
  <c r="H216" i="26" s="1"/>
  <c r="K247" i="26"/>
  <c r="J534" i="26" l="1"/>
  <c r="H534" i="26"/>
  <c r="E534" i="26"/>
  <c r="D535" i="26" s="1"/>
  <c r="J535" i="26" s="1"/>
  <c r="H194" i="27"/>
  <c r="I193" i="27"/>
  <c r="K248" i="26"/>
  <c r="J215" i="26"/>
  <c r="H535" i="26" l="1"/>
  <c r="I534" i="26"/>
  <c r="E535" i="26"/>
  <c r="D536" i="26" s="1"/>
  <c r="H195" i="27"/>
  <c r="I194" i="27"/>
  <c r="J169" i="27"/>
  <c r="E169" i="27"/>
  <c r="D170" i="27" s="1"/>
  <c r="J216" i="26"/>
  <c r="E216" i="26"/>
  <c r="D217" i="26" s="1"/>
  <c r="H217" i="26" s="1"/>
  <c r="K249" i="26"/>
  <c r="H536" i="26" l="1"/>
  <c r="I535" i="26"/>
  <c r="J536" i="26"/>
  <c r="E536" i="26"/>
  <c r="D537" i="26" s="1"/>
  <c r="J537" i="26" s="1"/>
  <c r="H196" i="27"/>
  <c r="I195" i="27"/>
  <c r="K250" i="26"/>
  <c r="H537" i="26" l="1"/>
  <c r="I536" i="26"/>
  <c r="E537" i="26"/>
  <c r="D538" i="26" s="1"/>
  <c r="H197" i="27"/>
  <c r="I196" i="27"/>
  <c r="J170" i="27"/>
  <c r="E170" i="27"/>
  <c r="D171" i="27" s="1"/>
  <c r="J217" i="26"/>
  <c r="E217" i="26"/>
  <c r="D218" i="26" s="1"/>
  <c r="H218" i="26" s="1"/>
  <c r="K251" i="26"/>
  <c r="H538" i="26" l="1"/>
  <c r="I537" i="26"/>
  <c r="J538" i="26"/>
  <c r="E538" i="26"/>
  <c r="D539" i="26" s="1"/>
  <c r="J539" i="26" s="1"/>
  <c r="H198" i="27"/>
  <c r="I197" i="27"/>
  <c r="J171" i="27"/>
  <c r="E171" i="27"/>
  <c r="K252" i="26"/>
  <c r="E218" i="26"/>
  <c r="D219" i="26" s="1"/>
  <c r="H219" i="26" s="1"/>
  <c r="H539" i="26" l="1"/>
  <c r="I538" i="26"/>
  <c r="E539" i="26"/>
  <c r="D540" i="26" s="1"/>
  <c r="J540" i="26" s="1"/>
  <c r="H199" i="27"/>
  <c r="I198" i="27"/>
  <c r="D172" i="27"/>
  <c r="J172" i="27" s="1"/>
  <c r="E219" i="26"/>
  <c r="D220" i="26" s="1"/>
  <c r="H220" i="26" s="1"/>
  <c r="J218" i="26"/>
  <c r="K253" i="26"/>
  <c r="H540" i="26" l="1"/>
  <c r="I539" i="26"/>
  <c r="E540" i="26"/>
  <c r="D541" i="26" s="1"/>
  <c r="J541" i="26" s="1"/>
  <c r="H200" i="27"/>
  <c r="I199" i="27"/>
  <c r="E172" i="27"/>
  <c r="D173" i="27" s="1"/>
  <c r="J173" i="27" s="1"/>
  <c r="E220" i="26"/>
  <c r="D221" i="26" s="1"/>
  <c r="H221" i="26" s="1"/>
  <c r="K254" i="26"/>
  <c r="J219" i="26"/>
  <c r="H541" i="26" l="1"/>
  <c r="I540" i="26"/>
  <c r="E541" i="26"/>
  <c r="D542" i="26" s="1"/>
  <c r="J542" i="26" s="1"/>
  <c r="H201" i="27"/>
  <c r="I200" i="27"/>
  <c r="E173" i="27"/>
  <c r="D174" i="27" s="1"/>
  <c r="J174" i="27" s="1"/>
  <c r="J673" i="26"/>
  <c r="J672" i="26"/>
  <c r="K255" i="26"/>
  <c r="E221" i="26"/>
  <c r="D222" i="26" s="1"/>
  <c r="H222" i="26" s="1"/>
  <c r="J220" i="26"/>
  <c r="H542" i="26" l="1"/>
  <c r="I541" i="26"/>
  <c r="H202" i="27"/>
  <c r="I201" i="27"/>
  <c r="E174" i="27"/>
  <c r="D175" i="27" s="1"/>
  <c r="J175" i="27" s="1"/>
  <c r="E542" i="26"/>
  <c r="E222" i="26"/>
  <c r="D223" i="26" s="1"/>
  <c r="H223" i="26" s="1"/>
  <c r="J221" i="26"/>
  <c r="K256" i="26"/>
  <c r="I542" i="26" l="1"/>
  <c r="D543" i="26"/>
  <c r="J543" i="26" s="1"/>
  <c r="H203" i="27"/>
  <c r="I202" i="27"/>
  <c r="E175" i="27"/>
  <c r="D176" i="27" s="1"/>
  <c r="J675" i="26"/>
  <c r="J674" i="26"/>
  <c r="E223" i="26"/>
  <c r="D224" i="26" s="1"/>
  <c r="H224" i="26" s="1"/>
  <c r="J222" i="26"/>
  <c r="H543" i="26" l="1"/>
  <c r="E543" i="26"/>
  <c r="D544" i="26" s="1"/>
  <c r="J544" i="26" s="1"/>
  <c r="H204" i="27"/>
  <c r="I203" i="27"/>
  <c r="J176" i="27"/>
  <c r="E224" i="26"/>
  <c r="D225" i="26" s="1"/>
  <c r="H225" i="26" s="1"/>
  <c r="J223" i="26"/>
  <c r="G9" i="24"/>
  <c r="G11" i="24" s="1"/>
  <c r="H544" i="26" l="1"/>
  <c r="I543" i="26"/>
  <c r="H205" i="27"/>
  <c r="I204" i="27"/>
  <c r="E176" i="27"/>
  <c r="D177" i="27" s="1"/>
  <c r="E544" i="26"/>
  <c r="J677" i="26"/>
  <c r="J676" i="26"/>
  <c r="E225" i="26"/>
  <c r="D226" i="26" s="1"/>
  <c r="H226" i="26" s="1"/>
  <c r="J224" i="26"/>
  <c r="I544" i="26" l="1"/>
  <c r="D545" i="26"/>
  <c r="J545" i="26" s="1"/>
  <c r="H206" i="27"/>
  <c r="I205" i="27"/>
  <c r="J177" i="27"/>
  <c r="E177" i="27"/>
  <c r="D178" i="27" s="1"/>
  <c r="E226" i="26"/>
  <c r="D227" i="26" s="1"/>
  <c r="H227" i="26" s="1"/>
  <c r="J225" i="26"/>
  <c r="H545" i="26" l="1"/>
  <c r="E545" i="26"/>
  <c r="D546" i="26" s="1"/>
  <c r="J546" i="26" s="1"/>
  <c r="H207" i="27"/>
  <c r="I206" i="27"/>
  <c r="J178" i="27"/>
  <c r="E178" i="27"/>
  <c r="D179" i="27" s="1"/>
  <c r="J679" i="26"/>
  <c r="J678" i="26"/>
  <c r="E227" i="26"/>
  <c r="D228" i="26" s="1"/>
  <c r="H228" i="26" s="1"/>
  <c r="J226" i="26"/>
  <c r="H546" i="26" l="1"/>
  <c r="I545" i="26"/>
  <c r="E546" i="26"/>
  <c r="D547" i="26" s="1"/>
  <c r="J547" i="26" s="1"/>
  <c r="H208" i="27"/>
  <c r="I207" i="27"/>
  <c r="J179" i="27"/>
  <c r="E228" i="26"/>
  <c r="D229" i="26" s="1"/>
  <c r="H229" i="26" s="1"/>
  <c r="J227" i="26"/>
  <c r="H547" i="26" l="1"/>
  <c r="I546" i="26"/>
  <c r="E547" i="26"/>
  <c r="D548" i="26" s="1"/>
  <c r="J548" i="26" s="1"/>
  <c r="H209" i="27"/>
  <c r="I208" i="27"/>
  <c r="E179" i="27"/>
  <c r="D180" i="27" s="1"/>
  <c r="J681" i="26"/>
  <c r="J680" i="26"/>
  <c r="E229" i="26"/>
  <c r="D230" i="26" s="1"/>
  <c r="H230" i="26" s="1"/>
  <c r="J228" i="26"/>
  <c r="E548" i="26" l="1"/>
  <c r="D549" i="26" s="1"/>
  <c r="J549" i="26" s="1"/>
  <c r="H548" i="26"/>
  <c r="I547" i="26"/>
  <c r="H210" i="27"/>
  <c r="I209" i="27"/>
  <c r="J180" i="27"/>
  <c r="J682" i="26"/>
  <c r="E230" i="26"/>
  <c r="D231" i="26" s="1"/>
  <c r="H231" i="26" s="1"/>
  <c r="J229" i="26"/>
  <c r="H549" i="26" l="1"/>
  <c r="I548" i="26"/>
  <c r="E549" i="26"/>
  <c r="D550" i="26" s="1"/>
  <c r="J550" i="26" s="1"/>
  <c r="H211" i="27"/>
  <c r="I210" i="27"/>
  <c r="E180" i="27"/>
  <c r="D181" i="27" s="1"/>
  <c r="J683" i="26"/>
  <c r="E231" i="26"/>
  <c r="D232" i="26" s="1"/>
  <c r="H232" i="26" s="1"/>
  <c r="J230" i="26"/>
  <c r="E550" i="26" l="1"/>
  <c r="D551" i="26" s="1"/>
  <c r="J551" i="26" s="1"/>
  <c r="H550" i="26"/>
  <c r="I549" i="26"/>
  <c r="H212" i="27"/>
  <c r="I211" i="27"/>
  <c r="J181" i="27"/>
  <c r="J684" i="26"/>
  <c r="E232" i="26"/>
  <c r="D233" i="26" s="1"/>
  <c r="H233" i="26" s="1"/>
  <c r="J231" i="26"/>
  <c r="H551" i="26" l="1"/>
  <c r="I550" i="26"/>
  <c r="H213" i="27"/>
  <c r="I212" i="27"/>
  <c r="E181" i="27"/>
  <c r="E551" i="26"/>
  <c r="D552" i="26" s="1"/>
  <c r="J685" i="26"/>
  <c r="E233" i="26"/>
  <c r="D234" i="26" s="1"/>
  <c r="H234" i="26" s="1"/>
  <c r="J232" i="26"/>
  <c r="H552" i="26" l="1"/>
  <c r="I551" i="26"/>
  <c r="H214" i="27"/>
  <c r="I213" i="27"/>
  <c r="D182" i="27"/>
  <c r="E182" i="27" s="1"/>
  <c r="D183" i="27" s="1"/>
  <c r="J552" i="26"/>
  <c r="J686" i="26"/>
  <c r="E234" i="26"/>
  <c r="D235" i="26" s="1"/>
  <c r="H235" i="26" s="1"/>
  <c r="J233" i="26"/>
  <c r="I552" i="26" l="1"/>
  <c r="H215" i="27"/>
  <c r="I214" i="27"/>
  <c r="J182" i="27"/>
  <c r="J183" i="27"/>
  <c r="E552" i="26"/>
  <c r="J687" i="26"/>
  <c r="E235" i="26"/>
  <c r="D236" i="26" s="1"/>
  <c r="H236" i="26" s="1"/>
  <c r="J234" i="26"/>
  <c r="D553" i="26" l="1"/>
  <c r="H216" i="27"/>
  <c r="I215" i="27"/>
  <c r="E183" i="27"/>
  <c r="D184" i="27" s="1"/>
  <c r="J688" i="26"/>
  <c r="E236" i="26"/>
  <c r="D237" i="26" s="1"/>
  <c r="H237" i="26" s="1"/>
  <c r="J235" i="26"/>
  <c r="J553" i="26" l="1"/>
  <c r="H553" i="26"/>
  <c r="E553" i="26"/>
  <c r="D554" i="26" s="1"/>
  <c r="J554" i="26" s="1"/>
  <c r="H217" i="27"/>
  <c r="I216" i="27"/>
  <c r="J184" i="27"/>
  <c r="J689" i="26"/>
  <c r="E237" i="26"/>
  <c r="D238" i="26" s="1"/>
  <c r="H238" i="26" s="1"/>
  <c r="J236" i="26"/>
  <c r="H554" i="26" l="1"/>
  <c r="I553" i="26"/>
  <c r="H218" i="27"/>
  <c r="I217" i="27"/>
  <c r="E184" i="27"/>
  <c r="E554" i="26"/>
  <c r="J690" i="26"/>
  <c r="E238" i="26"/>
  <c r="D239" i="26" s="1"/>
  <c r="H239" i="26" s="1"/>
  <c r="J237" i="26"/>
  <c r="I554" i="26" l="1"/>
  <c r="D555" i="26"/>
  <c r="J555" i="26" s="1"/>
  <c r="H219" i="27"/>
  <c r="I218" i="27"/>
  <c r="D185" i="27"/>
  <c r="J185" i="27" s="1"/>
  <c r="J691" i="26"/>
  <c r="E239" i="26"/>
  <c r="D240" i="26" s="1"/>
  <c r="H240" i="26" s="1"/>
  <c r="J238" i="26"/>
  <c r="H555" i="26" l="1"/>
  <c r="E555" i="26"/>
  <c r="H220" i="27"/>
  <c r="I219" i="27"/>
  <c r="E185" i="27"/>
  <c r="D186" i="27" s="1"/>
  <c r="J186" i="27" s="1"/>
  <c r="J692" i="26"/>
  <c r="E240" i="26"/>
  <c r="D241" i="26" s="1"/>
  <c r="H241" i="26" s="1"/>
  <c r="J239" i="26"/>
  <c r="I555" i="26" l="1"/>
  <c r="D556" i="26"/>
  <c r="E556" i="26" s="1"/>
  <c r="H221" i="27"/>
  <c r="I220" i="27"/>
  <c r="E186" i="27"/>
  <c r="D187" i="27" s="1"/>
  <c r="J693" i="26"/>
  <c r="E241" i="26"/>
  <c r="D242" i="26" s="1"/>
  <c r="H242" i="26" s="1"/>
  <c r="J240" i="26"/>
  <c r="H556" i="26" l="1"/>
  <c r="D557" i="26"/>
  <c r="J557" i="26" s="1"/>
  <c r="J556" i="26"/>
  <c r="H222" i="27"/>
  <c r="I221" i="27"/>
  <c r="J187" i="27"/>
  <c r="J694" i="26"/>
  <c r="E242" i="26"/>
  <c r="D243" i="26" s="1"/>
  <c r="H243" i="26" s="1"/>
  <c r="J241" i="26"/>
  <c r="H557" i="26" l="1"/>
  <c r="I556" i="26"/>
  <c r="E557" i="26"/>
  <c r="D558" i="26" s="1"/>
  <c r="J558" i="26" s="1"/>
  <c r="H223" i="27"/>
  <c r="I222" i="27"/>
  <c r="E187" i="27"/>
  <c r="D188" i="27" s="1"/>
  <c r="J695" i="26"/>
  <c r="E243" i="26"/>
  <c r="D244" i="26" s="1"/>
  <c r="H244" i="26" s="1"/>
  <c r="J242" i="26"/>
  <c r="H558" i="26" l="1"/>
  <c r="I557" i="26"/>
  <c r="E558" i="26"/>
  <c r="D559" i="26" s="1"/>
  <c r="J559" i="26" s="1"/>
  <c r="H224" i="27"/>
  <c r="I223" i="27"/>
  <c r="J188" i="27"/>
  <c r="J696" i="26"/>
  <c r="E244" i="26"/>
  <c r="D245" i="26" s="1"/>
  <c r="H245" i="26" s="1"/>
  <c r="J243" i="26"/>
  <c r="H559" i="26" l="1"/>
  <c r="I558" i="26"/>
  <c r="E559" i="26"/>
  <c r="H225" i="27"/>
  <c r="I224" i="27"/>
  <c r="E188" i="27"/>
  <c r="D189" i="27" s="1"/>
  <c r="J697" i="26"/>
  <c r="J244" i="26"/>
  <c r="I559" i="26" l="1"/>
  <c r="D560" i="26"/>
  <c r="E560" i="26" s="1"/>
  <c r="H226" i="27"/>
  <c r="I225" i="27"/>
  <c r="J189" i="27"/>
  <c r="J698" i="26"/>
  <c r="J245" i="26"/>
  <c r="E245" i="26"/>
  <c r="D246" i="26" s="1"/>
  <c r="H246" i="26" s="1"/>
  <c r="H560" i="26" l="1"/>
  <c r="D561" i="26"/>
  <c r="J561" i="26" s="1"/>
  <c r="J560" i="26"/>
  <c r="H227" i="27"/>
  <c r="I226" i="27"/>
  <c r="E189" i="27"/>
  <c r="D190" i="27" s="1"/>
  <c r="J699" i="26"/>
  <c r="H561" i="26" l="1"/>
  <c r="I560" i="26"/>
  <c r="E561" i="26"/>
  <c r="H228" i="27"/>
  <c r="I227" i="27"/>
  <c r="J190" i="27"/>
  <c r="J700" i="26"/>
  <c r="J246" i="26"/>
  <c r="E246" i="26"/>
  <c r="D247" i="26" s="1"/>
  <c r="H247" i="26" s="1"/>
  <c r="I561" i="26" l="1"/>
  <c r="D562" i="26"/>
  <c r="J562" i="26" s="1"/>
  <c r="H229" i="27"/>
  <c r="I228" i="27"/>
  <c r="E190" i="27"/>
  <c r="D191" i="27" s="1"/>
  <c r="J191" i="27" s="1"/>
  <c r="J701" i="26"/>
  <c r="E247" i="26"/>
  <c r="D248" i="26" s="1"/>
  <c r="H248" i="26" s="1"/>
  <c r="H562" i="26" l="1"/>
  <c r="E562" i="26"/>
  <c r="H230" i="27"/>
  <c r="I229" i="27"/>
  <c r="E191" i="27"/>
  <c r="D192" i="27" s="1"/>
  <c r="J192" i="27" s="1"/>
  <c r="J702" i="26"/>
  <c r="E248" i="26"/>
  <c r="D249" i="26" s="1"/>
  <c r="H249" i="26" s="1"/>
  <c r="J247" i="26"/>
  <c r="I562" i="26" l="1"/>
  <c r="D563" i="26"/>
  <c r="J563" i="26" s="1"/>
  <c r="H231" i="27"/>
  <c r="I230" i="27"/>
  <c r="E192" i="27"/>
  <c r="D193" i="27" s="1"/>
  <c r="J193" i="27" s="1"/>
  <c r="J703" i="26"/>
  <c r="E249" i="26"/>
  <c r="D250" i="26" s="1"/>
  <c r="H250" i="26" s="1"/>
  <c r="J248" i="26"/>
  <c r="H563" i="26" l="1"/>
  <c r="E563" i="26"/>
  <c r="H232" i="27"/>
  <c r="I231" i="27"/>
  <c r="E193" i="27"/>
  <c r="D194" i="27" s="1"/>
  <c r="J194" i="27" s="1"/>
  <c r="J704" i="26"/>
  <c r="E250" i="26"/>
  <c r="D251" i="26" s="1"/>
  <c r="H251" i="26" s="1"/>
  <c r="J249" i="26"/>
  <c r="I563" i="26" l="1"/>
  <c r="D564" i="26"/>
  <c r="J564" i="26" s="1"/>
  <c r="H233" i="27"/>
  <c r="I232" i="27"/>
  <c r="E194" i="27"/>
  <c r="J705" i="26"/>
  <c r="E251" i="26"/>
  <c r="D252" i="26" s="1"/>
  <c r="H252" i="26" s="1"/>
  <c r="J250" i="26"/>
  <c r="H564" i="26" l="1"/>
  <c r="E564" i="26"/>
  <c r="H234" i="27"/>
  <c r="I233" i="27"/>
  <c r="D195" i="27"/>
  <c r="E195" i="27" s="1"/>
  <c r="D196" i="27" s="1"/>
  <c r="J196" i="27" s="1"/>
  <c r="J706" i="26"/>
  <c r="E252" i="26"/>
  <c r="D253" i="26" s="1"/>
  <c r="H253" i="26" s="1"/>
  <c r="J251" i="26"/>
  <c r="I564" i="26" l="1"/>
  <c r="D565" i="26"/>
  <c r="J565" i="26" s="1"/>
  <c r="H235" i="27"/>
  <c r="I234" i="27"/>
  <c r="J195" i="27"/>
  <c r="E196" i="27"/>
  <c r="J707" i="26"/>
  <c r="E253" i="26"/>
  <c r="D254" i="26" s="1"/>
  <c r="H254" i="26" s="1"/>
  <c r="J252" i="26"/>
  <c r="H565" i="26" l="1"/>
  <c r="E565" i="26"/>
  <c r="H236" i="27"/>
  <c r="I235" i="27"/>
  <c r="D197" i="27"/>
  <c r="E197" i="27" s="1"/>
  <c r="D198" i="27" s="1"/>
  <c r="J708" i="26"/>
  <c r="E254" i="26"/>
  <c r="D255" i="26" s="1"/>
  <c r="H255" i="26" s="1"/>
  <c r="J253" i="26"/>
  <c r="I565" i="26" l="1"/>
  <c r="D566" i="26"/>
  <c r="J566" i="26" s="1"/>
  <c r="H237" i="27"/>
  <c r="I236" i="27"/>
  <c r="J197" i="27"/>
  <c r="J198" i="27"/>
  <c r="J709" i="26"/>
  <c r="E255" i="26"/>
  <c r="D256" i="26" s="1"/>
  <c r="H256" i="26" s="1"/>
  <c r="J254" i="26"/>
  <c r="H566" i="26" l="1"/>
  <c r="E566" i="26"/>
  <c r="H238" i="27"/>
  <c r="I237" i="27"/>
  <c r="E198" i="27"/>
  <c r="J710" i="26"/>
  <c r="E256" i="26"/>
  <c r="J255" i="26"/>
  <c r="I566" i="26" l="1"/>
  <c r="D567" i="26"/>
  <c r="J567" i="26" s="1"/>
  <c r="H239" i="27"/>
  <c r="I238" i="27"/>
  <c r="D199" i="27"/>
  <c r="J199" i="27" s="1"/>
  <c r="J711" i="26"/>
  <c r="J256" i="26"/>
  <c r="H567" i="26" l="1"/>
  <c r="E567" i="26"/>
  <c r="D568" i="26" s="1"/>
  <c r="J568" i="26" s="1"/>
  <c r="H240" i="27"/>
  <c r="I239" i="27"/>
  <c r="E199" i="27"/>
  <c r="D200" i="27" s="1"/>
  <c r="J200" i="27" s="1"/>
  <c r="J712" i="26"/>
  <c r="H568" i="26" l="1"/>
  <c r="I567" i="26"/>
  <c r="E568" i="26"/>
  <c r="H241" i="27"/>
  <c r="I240" i="27"/>
  <c r="E200" i="27"/>
  <c r="D201" i="27" s="1"/>
  <c r="J713" i="26"/>
  <c r="I568" i="26" l="1"/>
  <c r="D569" i="26"/>
  <c r="J569" i="26" s="1"/>
  <c r="H242" i="27"/>
  <c r="I241" i="27"/>
  <c r="J201" i="27"/>
  <c r="J714" i="26"/>
  <c r="H569" i="26" l="1"/>
  <c r="E569" i="26"/>
  <c r="D570" i="26" s="1"/>
  <c r="J570" i="26" s="1"/>
  <c r="H243" i="27"/>
  <c r="I242" i="27"/>
  <c r="E201" i="27"/>
  <c r="D202" i="27" s="1"/>
  <c r="J715" i="26"/>
  <c r="H570" i="26" l="1"/>
  <c r="I569" i="26"/>
  <c r="E570" i="26"/>
  <c r="J202" i="27"/>
  <c r="J716" i="26"/>
  <c r="I570" i="26" l="1"/>
  <c r="D571" i="26"/>
  <c r="J571" i="26" s="1"/>
  <c r="E202" i="27"/>
  <c r="D203" i="27" s="1"/>
  <c r="J717" i="26"/>
  <c r="H571" i="26" l="1"/>
  <c r="E571" i="26"/>
  <c r="J203" i="27"/>
  <c r="J718" i="26"/>
  <c r="E74" i="26"/>
  <c r="E446" i="26" s="1"/>
  <c r="I571" i="26" l="1"/>
  <c r="D572" i="26"/>
  <c r="J572" i="26" s="1"/>
  <c r="E203" i="27"/>
  <c r="D204" i="27" s="1"/>
  <c r="J719" i="26"/>
  <c r="D74" i="26"/>
  <c r="D446" i="26" s="1"/>
  <c r="H572" i="26" l="1"/>
  <c r="E572" i="26"/>
  <c r="D573" i="26" s="1"/>
  <c r="J573" i="26" s="1"/>
  <c r="J204" i="27"/>
  <c r="J720" i="26"/>
  <c r="H573" i="26" l="1"/>
  <c r="I572" i="26"/>
  <c r="E573" i="26"/>
  <c r="D574" i="26" s="1"/>
  <c r="J574" i="26" s="1"/>
  <c r="E204" i="27"/>
  <c r="D205" i="27" s="1"/>
  <c r="J721" i="26"/>
  <c r="E259" i="26"/>
  <c r="E632" i="26" s="1"/>
  <c r="H574" i="26" l="1"/>
  <c r="I573" i="26"/>
  <c r="E574" i="26"/>
  <c r="D575" i="26" s="1"/>
  <c r="J575" i="26" s="1"/>
  <c r="J205" i="27"/>
  <c r="J722" i="26"/>
  <c r="H575" i="26" l="1"/>
  <c r="I574" i="26"/>
  <c r="E575" i="26"/>
  <c r="D576" i="26" s="1"/>
  <c r="J576" i="26" s="1"/>
  <c r="E205" i="27"/>
  <c r="D206" i="27" s="1"/>
  <c r="J723" i="26"/>
  <c r="H259" i="26"/>
  <c r="H632" i="26" s="1"/>
  <c r="H576" i="26" l="1"/>
  <c r="I575" i="26"/>
  <c r="E576" i="26"/>
  <c r="D577" i="26" s="1"/>
  <c r="J577" i="26" s="1"/>
  <c r="J206" i="27"/>
  <c r="J507" i="26"/>
  <c r="J724" i="26"/>
  <c r="I259" i="26"/>
  <c r="I632" i="26" s="1"/>
  <c r="H577" i="26" l="1"/>
  <c r="I576" i="26"/>
  <c r="E577" i="26"/>
  <c r="D578" i="26" s="1"/>
  <c r="J578" i="26" s="1"/>
  <c r="E206" i="27"/>
  <c r="D207" i="27" s="1"/>
  <c r="J725" i="26"/>
  <c r="H578" i="26" l="1"/>
  <c r="I577" i="26"/>
  <c r="E578" i="26"/>
  <c r="D579" i="26" s="1"/>
  <c r="J579" i="26" s="1"/>
  <c r="J207" i="27"/>
  <c r="J726" i="26"/>
  <c r="H579" i="26" l="1"/>
  <c r="I578" i="26"/>
  <c r="E579" i="26"/>
  <c r="D580" i="26" s="1"/>
  <c r="J580" i="26" s="1"/>
  <c r="E207" i="27"/>
  <c r="D208" i="27" s="1"/>
  <c r="J727" i="26"/>
  <c r="H580" i="26" l="1"/>
  <c r="I579" i="26"/>
  <c r="E580" i="26"/>
  <c r="D581" i="26" s="1"/>
  <c r="J581" i="26" s="1"/>
  <c r="J208" i="27"/>
  <c r="J728" i="26"/>
  <c r="H581" i="26" l="1"/>
  <c r="I580" i="26"/>
  <c r="E581" i="26"/>
  <c r="D582" i="26" s="1"/>
  <c r="J582" i="26" s="1"/>
  <c r="E208" i="27"/>
  <c r="D209" i="27" s="1"/>
  <c r="J729" i="26"/>
  <c r="H582" i="26" l="1"/>
  <c r="I581" i="26"/>
  <c r="E582" i="26"/>
  <c r="D583" i="26" s="1"/>
  <c r="J583" i="26" s="1"/>
  <c r="J209" i="27"/>
  <c r="J730" i="26"/>
  <c r="H583" i="26" l="1"/>
  <c r="I582" i="26"/>
  <c r="E209" i="27"/>
  <c r="E583" i="26"/>
  <c r="J731" i="26"/>
  <c r="I583" i="26" l="1"/>
  <c r="D584" i="26"/>
  <c r="J584" i="26" s="1"/>
  <c r="D210" i="27"/>
  <c r="E210" i="27" s="1"/>
  <c r="J732" i="26"/>
  <c r="H584" i="26" l="1"/>
  <c r="E584" i="26"/>
  <c r="D585" i="26" s="1"/>
  <c r="J585" i="26" s="1"/>
  <c r="J210" i="27"/>
  <c r="D211" i="27"/>
  <c r="J211" i="27" s="1"/>
  <c r="J733" i="26"/>
  <c r="H585" i="26" l="1"/>
  <c r="I584" i="26"/>
  <c r="E585" i="26"/>
  <c r="D586" i="26" s="1"/>
  <c r="J586" i="26" s="1"/>
  <c r="E211" i="27"/>
  <c r="D212" i="27" s="1"/>
  <c r="E212" i="27" s="1"/>
  <c r="D213" i="27" s="1"/>
  <c r="J734" i="26"/>
  <c r="H586" i="26" l="1"/>
  <c r="I585" i="26"/>
  <c r="E586" i="26"/>
  <c r="D587" i="26" s="1"/>
  <c r="J587" i="26" s="1"/>
  <c r="J212" i="27"/>
  <c r="J213" i="27"/>
  <c r="J735" i="26"/>
  <c r="H587" i="26" l="1"/>
  <c r="I586" i="26"/>
  <c r="E587" i="26"/>
  <c r="D588" i="26" s="1"/>
  <c r="J588" i="26" s="1"/>
  <c r="E213" i="27"/>
  <c r="J736" i="26"/>
  <c r="H588" i="26" l="1"/>
  <c r="I587" i="26"/>
  <c r="E588" i="26"/>
  <c r="D589" i="26" s="1"/>
  <c r="J589" i="26" s="1"/>
  <c r="D214" i="27"/>
  <c r="J214" i="27" s="1"/>
  <c r="J737" i="26"/>
  <c r="H589" i="26" l="1"/>
  <c r="I588" i="26"/>
  <c r="E589" i="26"/>
  <c r="D590" i="26" s="1"/>
  <c r="J590" i="26" s="1"/>
  <c r="E214" i="27"/>
  <c r="D215" i="27" s="1"/>
  <c r="J738" i="26"/>
  <c r="H590" i="26" l="1"/>
  <c r="I589" i="26"/>
  <c r="E590" i="26"/>
  <c r="J215" i="27"/>
  <c r="E215" i="27"/>
  <c r="D216" i="27" s="1"/>
  <c r="J216" i="27" s="1"/>
  <c r="J739" i="26"/>
  <c r="I590" i="26" l="1"/>
  <c r="D591" i="26"/>
  <c r="J591" i="26" s="1"/>
  <c r="E216" i="27"/>
  <c r="D217" i="27" s="1"/>
  <c r="E217" i="27" s="1"/>
  <c r="D218" i="27" s="1"/>
  <c r="J218" i="27" s="1"/>
  <c r="J740" i="26"/>
  <c r="H591" i="26" l="1"/>
  <c r="E591" i="26"/>
  <c r="D592" i="26" s="1"/>
  <c r="J592" i="26" s="1"/>
  <c r="J217" i="27"/>
  <c r="E218" i="27"/>
  <c r="D219" i="27" s="1"/>
  <c r="J219" i="27" s="1"/>
  <c r="J741" i="26"/>
  <c r="H592" i="26" l="1"/>
  <c r="I591" i="26"/>
  <c r="E219" i="27"/>
  <c r="E592" i="26"/>
  <c r="J742" i="26"/>
  <c r="I592" i="26" l="1"/>
  <c r="D593" i="26"/>
  <c r="J593" i="26" s="1"/>
  <c r="D220" i="27"/>
  <c r="J220" i="27" s="1"/>
  <c r="J743" i="26"/>
  <c r="H593" i="26" l="1"/>
  <c r="E593" i="26"/>
  <c r="D594" i="26" s="1"/>
  <c r="J594" i="26" s="1"/>
  <c r="E220" i="27"/>
  <c r="D221" i="27" s="1"/>
  <c r="J221" i="27" s="1"/>
  <c r="J744" i="26"/>
  <c r="H594" i="26" l="1"/>
  <c r="I593" i="26"/>
  <c r="E221" i="27"/>
  <c r="D222" i="27" s="1"/>
  <c r="E594" i="26"/>
  <c r="D595" i="26" s="1"/>
  <c r="J745" i="26"/>
  <c r="H595" i="26" l="1"/>
  <c r="I594" i="26"/>
  <c r="J222" i="27"/>
  <c r="E595" i="26"/>
  <c r="J595" i="26"/>
  <c r="J746" i="26"/>
  <c r="I595" i="26" l="1"/>
  <c r="D596" i="26"/>
  <c r="J596" i="26" s="1"/>
  <c r="E222" i="27"/>
  <c r="D223" i="27" s="1"/>
  <c r="J747" i="26"/>
  <c r="H596" i="26" l="1"/>
  <c r="E596" i="26"/>
  <c r="D597" i="26" s="1"/>
  <c r="E597" i="26" s="1"/>
  <c r="D598" i="26" s="1"/>
  <c r="J748" i="26"/>
  <c r="H597" i="26" l="1"/>
  <c r="I596" i="26"/>
  <c r="J223" i="27"/>
  <c r="E223" i="27"/>
  <c r="D224" i="27" s="1"/>
  <c r="J598" i="26"/>
  <c r="J597" i="26"/>
  <c r="J749" i="26"/>
  <c r="H598" i="26" l="1"/>
  <c r="I597" i="26"/>
  <c r="E598" i="26"/>
  <c r="E224" i="27"/>
  <c r="D225" i="27" s="1"/>
  <c r="J750" i="26"/>
  <c r="I598" i="26" l="1"/>
  <c r="D599" i="26"/>
  <c r="E599" i="26" s="1"/>
  <c r="D600" i="26" s="1"/>
  <c r="J600" i="26" s="1"/>
  <c r="J224" i="27"/>
  <c r="J225" i="27"/>
  <c r="J751" i="26"/>
  <c r="H599" i="26" l="1"/>
  <c r="J599" i="26"/>
  <c r="E225" i="27"/>
  <c r="D226" i="27" s="1"/>
  <c r="E600" i="26"/>
  <c r="J752" i="26"/>
  <c r="H600" i="26" l="1"/>
  <c r="I599" i="26"/>
  <c r="D601" i="26"/>
  <c r="E601" i="26" s="1"/>
  <c r="D602" i="26" s="1"/>
  <c r="J602" i="26" s="1"/>
  <c r="E226" i="27"/>
  <c r="D227" i="27" s="1"/>
  <c r="J753" i="26"/>
  <c r="H601" i="26" l="1"/>
  <c r="I600" i="26"/>
  <c r="J601" i="26"/>
  <c r="E602" i="26"/>
  <c r="D603" i="26" s="1"/>
  <c r="J227" i="27"/>
  <c r="J226" i="27"/>
  <c r="J754" i="26"/>
  <c r="H602" i="26" l="1"/>
  <c r="I601" i="26"/>
  <c r="E227" i="27"/>
  <c r="J603" i="26"/>
  <c r="E603" i="26"/>
  <c r="D604" i="26" s="1"/>
  <c r="J755" i="26"/>
  <c r="H603" i="26" l="1"/>
  <c r="I602" i="26"/>
  <c r="D228" i="27"/>
  <c r="J228" i="27" s="1"/>
  <c r="J604" i="26"/>
  <c r="J756" i="26"/>
  <c r="H604" i="26" l="1"/>
  <c r="I603" i="26"/>
  <c r="E604" i="26"/>
  <c r="E228" i="27"/>
  <c r="J757" i="26"/>
  <c r="I604" i="26" l="1"/>
  <c r="D605" i="26"/>
  <c r="J605" i="26" s="1"/>
  <c r="D229" i="27"/>
  <c r="J229" i="27" s="1"/>
  <c r="J758" i="26"/>
  <c r="H605" i="26" l="1"/>
  <c r="E605" i="26"/>
  <c r="D606" i="26" s="1"/>
  <c r="J606" i="26" s="1"/>
  <c r="E229" i="27"/>
  <c r="D230" i="27" s="1"/>
  <c r="J230" i="27" s="1"/>
  <c r="J759" i="26"/>
  <c r="H606" i="26" l="1"/>
  <c r="I605" i="26"/>
  <c r="E606" i="26"/>
  <c r="D607" i="26" s="1"/>
  <c r="J607" i="26" s="1"/>
  <c r="E230" i="27"/>
  <c r="D231" i="27" s="1"/>
  <c r="J231" i="27" s="1"/>
  <c r="J760" i="26"/>
  <c r="H607" i="26" l="1"/>
  <c r="I606" i="26"/>
  <c r="E607" i="26"/>
  <c r="E231" i="27"/>
  <c r="D232" i="27" s="1"/>
  <c r="J232" i="27" s="1"/>
  <c r="J761" i="26"/>
  <c r="I607" i="26" l="1"/>
  <c r="D608" i="26"/>
  <c r="J608" i="26" s="1"/>
  <c r="E232" i="27"/>
  <c r="D233" i="27" s="1"/>
  <c r="J762" i="26"/>
  <c r="H608" i="26" l="1"/>
  <c r="E608" i="26"/>
  <c r="D609" i="26" s="1"/>
  <c r="J609" i="26" s="1"/>
  <c r="E233" i="27"/>
  <c r="D234" i="27" s="1"/>
  <c r="J233" i="27"/>
  <c r="J763" i="26"/>
  <c r="H609" i="26" l="1"/>
  <c r="I608" i="26"/>
  <c r="E609" i="26"/>
  <c r="D610" i="26" s="1"/>
  <c r="J610" i="26" s="1"/>
  <c r="J234" i="27"/>
  <c r="J764" i="26"/>
  <c r="H610" i="26" l="1"/>
  <c r="I609" i="26"/>
  <c r="E610" i="26"/>
  <c r="D611" i="26" s="1"/>
  <c r="J611" i="26" s="1"/>
  <c r="E234" i="27"/>
  <c r="D235" i="27" s="1"/>
  <c r="J235" i="27" s="1"/>
  <c r="J765" i="26"/>
  <c r="H611" i="26" l="1"/>
  <c r="I610" i="26"/>
  <c r="E611" i="26"/>
  <c r="D612" i="26" s="1"/>
  <c r="J612" i="26" s="1"/>
  <c r="E235" i="27"/>
  <c r="D236" i="27" s="1"/>
  <c r="J766" i="26"/>
  <c r="H612" i="26" l="1"/>
  <c r="I611" i="26"/>
  <c r="E612" i="26"/>
  <c r="D613" i="26" s="1"/>
  <c r="J613" i="26" s="1"/>
  <c r="J236" i="27"/>
  <c r="J767" i="26"/>
  <c r="H613" i="26" l="1"/>
  <c r="I612" i="26"/>
  <c r="E613" i="26"/>
  <c r="D614" i="26" s="1"/>
  <c r="J614" i="26" s="1"/>
  <c r="E236" i="27"/>
  <c r="D237" i="27" s="1"/>
  <c r="J768" i="26"/>
  <c r="H614" i="26" l="1"/>
  <c r="I613" i="26"/>
  <c r="E614" i="26"/>
  <c r="D615" i="26" s="1"/>
  <c r="J615" i="26" s="1"/>
  <c r="J237" i="27"/>
  <c r="J769" i="26"/>
  <c r="H615" i="26" l="1"/>
  <c r="I614" i="26"/>
  <c r="E615" i="26"/>
  <c r="D616" i="26" s="1"/>
  <c r="J616" i="26" s="1"/>
  <c r="E237" i="27"/>
  <c r="D238" i="27" s="1"/>
  <c r="J770" i="26"/>
  <c r="H616" i="26" l="1"/>
  <c r="I615" i="26"/>
  <c r="E616" i="26"/>
  <c r="D617" i="26" s="1"/>
  <c r="J617" i="26" s="1"/>
  <c r="J238" i="27"/>
  <c r="J771" i="26"/>
  <c r="H617" i="26" l="1"/>
  <c r="I616" i="26"/>
  <c r="E617" i="26"/>
  <c r="D618" i="26" s="1"/>
  <c r="E618" i="26" s="1"/>
  <c r="E238" i="27"/>
  <c r="J772" i="26"/>
  <c r="H618" i="26" l="1"/>
  <c r="I617" i="26"/>
  <c r="D619" i="26"/>
  <c r="E619" i="26" s="1"/>
  <c r="J618" i="26"/>
  <c r="D239" i="27"/>
  <c r="E239" i="27" s="1"/>
  <c r="J773" i="26"/>
  <c r="H619" i="26" l="1"/>
  <c r="I618" i="26"/>
  <c r="D620" i="26"/>
  <c r="E620" i="26" s="1"/>
  <c r="J619" i="26"/>
  <c r="J239" i="27"/>
  <c r="D240" i="27"/>
  <c r="E240" i="27" s="1"/>
  <c r="J774" i="26"/>
  <c r="H620" i="26" l="1"/>
  <c r="I619" i="26"/>
  <c r="D621" i="26"/>
  <c r="E621" i="26" s="1"/>
  <c r="J620" i="26"/>
  <c r="D241" i="27"/>
  <c r="J241" i="27" s="1"/>
  <c r="J240" i="27"/>
  <c r="J775" i="26"/>
  <c r="H621" i="26" l="1"/>
  <c r="I620" i="26"/>
  <c r="D622" i="26"/>
  <c r="E622" i="26" s="1"/>
  <c r="D623" i="26" s="1"/>
  <c r="J623" i="26" s="1"/>
  <c r="J621" i="26"/>
  <c r="E241" i="27"/>
  <c r="D242" i="27" s="1"/>
  <c r="J242" i="27" s="1"/>
  <c r="J776" i="26"/>
  <c r="H622" i="26" l="1"/>
  <c r="I621" i="26"/>
  <c r="E623" i="26"/>
  <c r="D624" i="26" s="1"/>
  <c r="J624" i="26" s="1"/>
  <c r="J622" i="26"/>
  <c r="E242" i="27"/>
  <c r="D243" i="27" s="1"/>
  <c r="J777" i="26"/>
  <c r="H623" i="26" l="1"/>
  <c r="I622" i="26"/>
  <c r="E624" i="26"/>
  <c r="D625" i="26" s="1"/>
  <c r="J625" i="26" s="1"/>
  <c r="J778" i="26"/>
  <c r="H624" i="26" l="1"/>
  <c r="I623" i="26"/>
  <c r="E625" i="26"/>
  <c r="D626" i="26" s="1"/>
  <c r="J626" i="26" s="1"/>
  <c r="J243" i="27"/>
  <c r="D61" i="27"/>
  <c r="E243" i="27"/>
  <c r="E61" i="27" s="1"/>
  <c r="J779" i="26"/>
  <c r="H625" i="26" l="1"/>
  <c r="I624" i="26"/>
  <c r="E626" i="26"/>
  <c r="D627" i="26" s="1"/>
  <c r="J627" i="26" s="1"/>
  <c r="J61" i="27"/>
  <c r="I9" i="27"/>
  <c r="I11" i="27" s="1"/>
  <c r="I243" i="27"/>
  <c r="H61" i="27"/>
  <c r="I61" i="27" s="1"/>
  <c r="J780" i="26"/>
  <c r="H626" i="26" l="1"/>
  <c r="I625" i="26"/>
  <c r="E627" i="26"/>
  <c r="D628" i="26" s="1"/>
  <c r="J628" i="26" s="1"/>
  <c r="J781" i="26"/>
  <c r="H627" i="26" l="1"/>
  <c r="I626" i="26"/>
  <c r="E628" i="26"/>
  <c r="J782" i="26"/>
  <c r="H628" i="26" l="1"/>
  <c r="I627" i="26"/>
  <c r="D629" i="26"/>
  <c r="J783" i="26"/>
  <c r="H629" i="26" l="1"/>
  <c r="I628" i="26"/>
  <c r="J629" i="26"/>
  <c r="D447" i="26"/>
  <c r="E629" i="26"/>
  <c r="E447" i="26" s="1"/>
  <c r="J784" i="26"/>
  <c r="I629" i="26" l="1"/>
  <c r="H447" i="26"/>
  <c r="I447" i="26" s="1"/>
  <c r="J447" i="26"/>
  <c r="L13" i="26"/>
  <c r="L14" i="26" s="1"/>
  <c r="J785" i="26"/>
  <c r="J786" i="26" l="1"/>
  <c r="J787" i="26" l="1"/>
  <c r="J788" i="26" l="1"/>
  <c r="J789" i="26" l="1"/>
  <c r="J790" i="26" l="1"/>
  <c r="J791" i="26" l="1"/>
  <c r="J792" i="26" l="1"/>
  <c r="J793" i="26" l="1"/>
  <c r="J794" i="26" l="1"/>
  <c r="J795" i="26" l="1"/>
  <c r="J796" i="26" l="1"/>
  <c r="J797" i="26" l="1"/>
  <c r="J798" i="26" l="1"/>
  <c r="J799" i="26" l="1"/>
  <c r="J800" i="26" l="1"/>
  <c r="J801" i="26" l="1"/>
  <c r="J802" i="26" l="1"/>
  <c r="J803" i="26" l="1"/>
  <c r="J804" i="26" l="1"/>
  <c r="J805" i="26" l="1"/>
  <c r="J806" i="26" l="1"/>
  <c r="J807" i="26" l="1"/>
  <c r="J808" i="26" l="1"/>
  <c r="J809" i="26" l="1"/>
  <c r="J810" i="26" l="1"/>
  <c r="J811" i="26" l="1"/>
  <c r="J812" i="26" l="1"/>
  <c r="J813" i="26" l="1"/>
  <c r="J814" i="26" l="1"/>
  <c r="E633" i="26" l="1"/>
  <c r="J110" i="26" l="1"/>
  <c r="J142" i="26"/>
  <c r="J134" i="26"/>
  <c r="J122" i="26"/>
  <c r="H74" i="26"/>
  <c r="I118" i="26"/>
  <c r="J118" i="26" s="1"/>
  <c r="I123" i="26"/>
  <c r="I117" i="26"/>
  <c r="I105" i="26"/>
  <c r="I198" i="26"/>
  <c r="I144" i="26"/>
  <c r="I232" i="26"/>
  <c r="I161" i="26"/>
  <c r="I157" i="26"/>
  <c r="I169" i="26"/>
  <c r="I121" i="26"/>
  <c r="I172" i="26"/>
  <c r="I203" i="26"/>
  <c r="I219" i="26"/>
  <c r="I243" i="26"/>
  <c r="I158" i="26"/>
  <c r="I254" i="26"/>
  <c r="I137" i="26"/>
  <c r="I156" i="26"/>
  <c r="I228" i="26"/>
  <c r="I205" i="26"/>
  <c r="I230" i="26"/>
  <c r="I180" i="26"/>
  <c r="I132" i="26"/>
  <c r="I212" i="26"/>
  <c r="I151" i="26"/>
  <c r="I209" i="26"/>
  <c r="I129" i="26"/>
  <c r="I233" i="26"/>
  <c r="I222" i="26"/>
  <c r="I154" i="26"/>
  <c r="I133" i="26"/>
  <c r="I143" i="26"/>
  <c r="I223" i="26"/>
  <c r="I189" i="26"/>
  <c r="I227" i="26"/>
  <c r="I175" i="26"/>
  <c r="I214" i="26"/>
  <c r="I235" i="26"/>
  <c r="I236" i="26"/>
  <c r="I159" i="26"/>
  <c r="I188" i="26"/>
  <c r="I165" i="26"/>
  <c r="I210" i="26"/>
  <c r="I170" i="26"/>
  <c r="I239" i="26"/>
  <c r="I186" i="26"/>
  <c r="I221" i="26"/>
  <c r="I162" i="26"/>
  <c r="I249" i="26"/>
  <c r="I130" i="26"/>
  <c r="J130" i="26" s="1"/>
  <c r="I107" i="26"/>
  <c r="I207" i="26"/>
  <c r="I247" i="26"/>
  <c r="I102" i="26"/>
  <c r="I256" i="26"/>
  <c r="I194" i="26"/>
  <c r="I114" i="26"/>
  <c r="I160" i="26"/>
  <c r="I253" i="26"/>
  <c r="I120" i="26"/>
  <c r="I255" i="26"/>
  <c r="I167" i="26"/>
  <c r="I200" i="26"/>
  <c r="I238" i="26"/>
  <c r="I248" i="26"/>
  <c r="I184" i="26"/>
  <c r="I240" i="26"/>
  <c r="I150" i="26"/>
  <c r="I146" i="26"/>
  <c r="I177" i="26"/>
  <c r="I135" i="26"/>
  <c r="I190" i="26"/>
  <c r="I244" i="26"/>
  <c r="I138" i="26"/>
  <c r="I109" i="26"/>
  <c r="I106" i="26"/>
  <c r="I215" i="26"/>
  <c r="I115" i="26"/>
  <c r="I185" i="26"/>
  <c r="I163" i="26"/>
  <c r="I124" i="26"/>
  <c r="J124" i="26" s="1"/>
  <c r="I119" i="26"/>
  <c r="I112" i="26"/>
  <c r="J112" i="26" s="1"/>
  <c r="I139" i="26"/>
  <c r="I187" i="26"/>
  <c r="I252" i="26"/>
  <c r="I155" i="26"/>
  <c r="I231" i="26"/>
  <c r="I208" i="26"/>
  <c r="I245" i="26"/>
  <c r="I134" i="26"/>
  <c r="I145" i="26"/>
  <c r="I103" i="26"/>
  <c r="I179" i="26"/>
  <c r="I216" i="26"/>
  <c r="I204" i="26"/>
  <c r="I168" i="26"/>
  <c r="I111" i="26"/>
  <c r="I153" i="26"/>
  <c r="I140" i="26"/>
  <c r="I110" i="26"/>
  <c r="I225" i="26"/>
  <c r="I149" i="26"/>
  <c r="I217" i="26"/>
  <c r="I166" i="26"/>
  <c r="I202" i="26"/>
  <c r="I234" i="26"/>
  <c r="I218" i="26"/>
  <c r="I192" i="26"/>
  <c r="I213" i="26"/>
  <c r="I237" i="26"/>
  <c r="I173" i="26"/>
  <c r="I241" i="26"/>
  <c r="I148" i="26"/>
  <c r="J148" i="26" s="1"/>
  <c r="I220" i="26"/>
  <c r="I147" i="26"/>
  <c r="I178" i="26"/>
  <c r="I242" i="26"/>
  <c r="I141" i="26"/>
  <c r="I142" i="26"/>
  <c r="I183" i="26"/>
  <c r="I196" i="26"/>
  <c r="I224" i="26"/>
  <c r="I174" i="26"/>
  <c r="I201" i="26"/>
  <c r="I104" i="26"/>
  <c r="I164" i="26"/>
  <c r="I131" i="26"/>
  <c r="I136" i="26"/>
  <c r="J136" i="26" s="1"/>
  <c r="I108" i="26"/>
  <c r="I211" i="26"/>
  <c r="I122" i="26"/>
  <c r="I126" i="26"/>
  <c r="I125" i="26"/>
  <c r="I127" i="26"/>
  <c r="I246" i="26"/>
  <c r="I199" i="26"/>
  <c r="I128" i="26"/>
  <c r="I182" i="26"/>
  <c r="I176" i="26"/>
  <c r="I251" i="26"/>
  <c r="I197" i="26"/>
  <c r="I229" i="26"/>
  <c r="I152" i="26"/>
  <c r="I195" i="26"/>
  <c r="I250" i="26"/>
  <c r="I206" i="26"/>
  <c r="I226" i="26"/>
  <c r="I181" i="26"/>
  <c r="I191" i="26"/>
  <c r="I171" i="26"/>
  <c r="I113" i="26"/>
  <c r="I193" i="26"/>
  <c r="I116" i="26"/>
  <c r="J116" i="26" s="1"/>
  <c r="J74" i="26" l="1"/>
  <c r="J446" i="26" s="1"/>
  <c r="J13" i="26"/>
  <c r="J14" i="26" s="1"/>
  <c r="I74" i="26"/>
  <c r="I446" i="26" s="1"/>
  <c r="H446" i="26"/>
  <c r="N13" i="26" l="1"/>
  <c r="K285" i="26"/>
  <c r="D285" i="26" s="1"/>
  <c r="J285" i="26" s="1"/>
  <c r="K284" i="26"/>
  <c r="D284" i="26" s="1"/>
  <c r="J284" i="26" s="1"/>
  <c r="K283" i="26"/>
  <c r="K282" i="26"/>
  <c r="D282" i="26" s="1"/>
  <c r="J282" i="26" s="1"/>
  <c r="K281" i="26"/>
  <c r="D281" i="26" s="1"/>
  <c r="J281" i="26" s="1"/>
  <c r="K280" i="26"/>
  <c r="D280" i="26" s="1"/>
  <c r="J280" i="26" s="1"/>
  <c r="K277" i="26"/>
  <c r="D277" i="26" s="1"/>
  <c r="J277" i="26" s="1"/>
  <c r="K268" i="26"/>
  <c r="D268" i="26" s="1"/>
  <c r="J268" i="26" s="1"/>
  <c r="K267" i="26"/>
  <c r="K279" i="26"/>
  <c r="D279" i="26" s="1"/>
  <c r="J279" i="26" s="1"/>
  <c r="K275" i="26"/>
  <c r="D275" i="26" s="1"/>
  <c r="J275" i="26" s="1"/>
  <c r="K271" i="26"/>
  <c r="K273" i="26"/>
  <c r="D273" i="26" s="1"/>
  <c r="J273" i="26" s="1"/>
  <c r="K272" i="26"/>
  <c r="D272" i="26" s="1"/>
  <c r="J272" i="26" s="1"/>
  <c r="K269" i="26"/>
  <c r="D269" i="26" s="1"/>
  <c r="J269" i="26" s="1"/>
  <c r="K274" i="26"/>
  <c r="D274" i="26" s="1"/>
  <c r="J274" i="26" s="1"/>
  <c r="K278" i="26"/>
  <c r="D278" i="26" s="1"/>
  <c r="J278" i="26" s="1"/>
  <c r="K270" i="26"/>
  <c r="K276" i="26"/>
  <c r="D276" i="26" s="1"/>
  <c r="J276" i="26" s="1"/>
  <c r="K262" i="26"/>
  <c r="D262" i="26" s="1"/>
  <c r="K263" i="26"/>
  <c r="D263" i="26" s="1"/>
  <c r="J263" i="26" s="1"/>
  <c r="K264" i="26"/>
  <c r="D264" i="26" s="1"/>
  <c r="J264" i="26" s="1"/>
  <c r="K265" i="26"/>
  <c r="D265" i="26" s="1"/>
  <c r="J265" i="26" s="1"/>
  <c r="K266" i="26"/>
  <c r="D266" i="26" s="1"/>
  <c r="J266" i="26" s="1"/>
  <c r="D283" i="26" l="1"/>
  <c r="J283" i="26" s="1"/>
  <c r="D271" i="26"/>
  <c r="J271" i="26" s="1"/>
  <c r="K286" i="26"/>
  <c r="D270" i="26"/>
  <c r="J270" i="26" s="1"/>
  <c r="D267" i="26"/>
  <c r="J267" i="26" s="1"/>
  <c r="J262" i="26"/>
  <c r="D286" i="26" l="1"/>
  <c r="J286" i="26" s="1"/>
  <c r="K287" i="26"/>
  <c r="D287" i="26" l="1"/>
  <c r="K288" i="26"/>
  <c r="K289" i="26" l="1"/>
  <c r="K290" i="26" s="1"/>
  <c r="D290" i="26" s="1"/>
  <c r="J290" i="26" s="1"/>
  <c r="D288" i="26"/>
  <c r="J288" i="26" s="1"/>
  <c r="J287" i="26"/>
  <c r="D289" i="26" l="1"/>
  <c r="J289" i="26" s="1"/>
  <c r="K291" i="26"/>
  <c r="D291" i="26" l="1"/>
  <c r="J291" i="26" s="1"/>
  <c r="K292" i="26"/>
  <c r="D292" i="26" l="1"/>
  <c r="J292" i="26" s="1"/>
  <c r="K293" i="26"/>
  <c r="D293" i="26" l="1"/>
  <c r="J293" i="26" s="1"/>
  <c r="K294" i="26"/>
  <c r="D294" i="26" l="1"/>
  <c r="J294" i="26" s="1"/>
  <c r="K295" i="26"/>
  <c r="D295" i="26" l="1"/>
  <c r="J295" i="26" s="1"/>
  <c r="K296" i="26"/>
  <c r="D296" i="26" l="1"/>
  <c r="J296" i="26" s="1"/>
  <c r="K297" i="26"/>
  <c r="D297" i="26" l="1"/>
  <c r="J297" i="26" s="1"/>
  <c r="K298" i="26"/>
  <c r="D298" i="26" l="1"/>
  <c r="J298" i="26" s="1"/>
  <c r="K299" i="26"/>
  <c r="D299" i="26" l="1"/>
  <c r="J299" i="26" s="1"/>
  <c r="K300" i="26"/>
  <c r="D300" i="26" l="1"/>
  <c r="J300" i="26" s="1"/>
  <c r="K301" i="26"/>
  <c r="D301" i="26" l="1"/>
  <c r="J301" i="26" s="1"/>
  <c r="K302" i="26"/>
  <c r="D302" i="26" l="1"/>
  <c r="J302" i="26" s="1"/>
  <c r="K303" i="26"/>
  <c r="D303" i="26" l="1"/>
  <c r="J303" i="26" s="1"/>
  <c r="K304" i="26"/>
  <c r="D304" i="26" l="1"/>
  <c r="J304" i="26" s="1"/>
  <c r="K305" i="26"/>
  <c r="D305" i="26" l="1"/>
  <c r="J305" i="26" s="1"/>
  <c r="K306" i="26"/>
  <c r="D306" i="26" l="1"/>
  <c r="J306" i="26" s="1"/>
  <c r="K307" i="26"/>
  <c r="D307" i="26" l="1"/>
  <c r="J307" i="26" s="1"/>
  <c r="K308" i="26"/>
  <c r="D308" i="26" l="1"/>
  <c r="J308" i="26" s="1"/>
  <c r="K309" i="26"/>
  <c r="D309" i="26" l="1"/>
  <c r="J309" i="26" s="1"/>
  <c r="K310" i="26"/>
  <c r="D310" i="26" l="1"/>
  <c r="J310" i="26" s="1"/>
  <c r="K311" i="26"/>
  <c r="D311" i="26" l="1"/>
  <c r="J311" i="26" s="1"/>
  <c r="K312" i="26"/>
  <c r="D312" i="26" l="1"/>
  <c r="J312" i="26" s="1"/>
  <c r="K313" i="26"/>
  <c r="D313" i="26" l="1"/>
  <c r="J313" i="26" s="1"/>
  <c r="K314" i="26"/>
  <c r="D314" i="26" l="1"/>
  <c r="J314" i="26" s="1"/>
  <c r="K315" i="26"/>
  <c r="D315" i="26" l="1"/>
  <c r="J315" i="26" s="1"/>
  <c r="K316" i="26"/>
  <c r="D316" i="26" l="1"/>
  <c r="J316" i="26" s="1"/>
  <c r="K317" i="26"/>
  <c r="D317" i="26" l="1"/>
  <c r="J317" i="26" s="1"/>
  <c r="K318" i="26"/>
  <c r="D318" i="26" l="1"/>
  <c r="J318" i="26" s="1"/>
  <c r="K319" i="26"/>
  <c r="D319" i="26" l="1"/>
  <c r="J319" i="26" s="1"/>
  <c r="K320" i="26"/>
  <c r="D320" i="26" l="1"/>
  <c r="J320" i="26" s="1"/>
  <c r="K321" i="26"/>
  <c r="D321" i="26" l="1"/>
  <c r="J321" i="26" s="1"/>
  <c r="K322" i="26"/>
  <c r="D322" i="26" l="1"/>
  <c r="J322" i="26" s="1"/>
  <c r="K323" i="26"/>
  <c r="D323" i="26" l="1"/>
  <c r="J323" i="26" s="1"/>
  <c r="K324" i="26"/>
  <c r="D324" i="26" l="1"/>
  <c r="J324" i="26" s="1"/>
  <c r="K325" i="26"/>
  <c r="D325" i="26" l="1"/>
  <c r="J325" i="26" s="1"/>
  <c r="K326" i="26"/>
  <c r="D326" i="26" l="1"/>
  <c r="J326" i="26" s="1"/>
  <c r="K327" i="26"/>
  <c r="D327" i="26" l="1"/>
  <c r="J327" i="26" s="1"/>
  <c r="K328" i="26"/>
  <c r="D328" i="26" l="1"/>
  <c r="J328" i="26" s="1"/>
  <c r="K329" i="26"/>
  <c r="D329" i="26" l="1"/>
  <c r="J329" i="26" s="1"/>
  <c r="K330" i="26"/>
  <c r="D330" i="26" l="1"/>
  <c r="J330" i="26" s="1"/>
  <c r="K331" i="26"/>
  <c r="D331" i="26" l="1"/>
  <c r="J331" i="26" s="1"/>
  <c r="K332" i="26"/>
  <c r="D332" i="26" l="1"/>
  <c r="J332" i="26" s="1"/>
  <c r="K333" i="26"/>
  <c r="D333" i="26" l="1"/>
  <c r="J333" i="26" s="1"/>
  <c r="K334" i="26"/>
  <c r="D334" i="26" l="1"/>
  <c r="J334" i="26" s="1"/>
  <c r="K335" i="26"/>
  <c r="D335" i="26" l="1"/>
  <c r="J335" i="26" s="1"/>
  <c r="K336" i="26"/>
  <c r="D336" i="26" l="1"/>
  <c r="J336" i="26" s="1"/>
  <c r="K337" i="26"/>
  <c r="D337" i="26" l="1"/>
  <c r="J337" i="26" s="1"/>
  <c r="K338" i="26"/>
  <c r="D338" i="26" l="1"/>
  <c r="J338" i="26" s="1"/>
  <c r="K339" i="26"/>
  <c r="D339" i="26" l="1"/>
  <c r="J339" i="26" s="1"/>
  <c r="K340" i="26"/>
  <c r="D340" i="26" l="1"/>
  <c r="J340" i="26" s="1"/>
  <c r="K341" i="26"/>
  <c r="D341" i="26" l="1"/>
  <c r="J341" i="26" s="1"/>
  <c r="K342" i="26"/>
  <c r="D342" i="26" l="1"/>
  <c r="J342" i="26" s="1"/>
  <c r="K343" i="26"/>
  <c r="D343" i="26" l="1"/>
  <c r="J343" i="26" s="1"/>
  <c r="K344" i="26"/>
  <c r="D344" i="26" l="1"/>
  <c r="J344" i="26" s="1"/>
  <c r="K345" i="26"/>
  <c r="D345" i="26" l="1"/>
  <c r="J345" i="26" s="1"/>
  <c r="K346" i="26"/>
  <c r="D346" i="26" l="1"/>
  <c r="J346" i="26" s="1"/>
  <c r="K347" i="26"/>
  <c r="D347" i="26" l="1"/>
  <c r="J347" i="26" s="1"/>
  <c r="K348" i="26"/>
  <c r="D348" i="26" l="1"/>
  <c r="J348" i="26" s="1"/>
  <c r="K349" i="26"/>
  <c r="D349" i="26" l="1"/>
  <c r="J349" i="26" s="1"/>
  <c r="K350" i="26"/>
  <c r="D350" i="26" l="1"/>
  <c r="J350" i="26" s="1"/>
  <c r="K351" i="26"/>
  <c r="D351" i="26" l="1"/>
  <c r="J351" i="26" s="1"/>
  <c r="K352" i="26"/>
  <c r="D352" i="26" l="1"/>
  <c r="J352" i="26" s="1"/>
  <c r="K353" i="26"/>
  <c r="D353" i="26" l="1"/>
  <c r="J353" i="26" s="1"/>
  <c r="K354" i="26"/>
  <c r="D354" i="26" l="1"/>
  <c r="J354" i="26" s="1"/>
  <c r="K355" i="26"/>
  <c r="D355" i="26" l="1"/>
  <c r="J355" i="26" s="1"/>
  <c r="K356" i="26"/>
  <c r="D356" i="26" l="1"/>
  <c r="J356" i="26" s="1"/>
  <c r="K357" i="26"/>
  <c r="D357" i="26" l="1"/>
  <c r="J357" i="26" s="1"/>
  <c r="K358" i="26"/>
  <c r="D358" i="26" l="1"/>
  <c r="J358" i="26" s="1"/>
  <c r="K359" i="26"/>
  <c r="D359" i="26" l="1"/>
  <c r="J359" i="26" s="1"/>
  <c r="K360" i="26"/>
  <c r="D360" i="26" l="1"/>
  <c r="J360" i="26" s="1"/>
  <c r="K361" i="26"/>
  <c r="D361" i="26" l="1"/>
  <c r="J361" i="26" s="1"/>
  <c r="K362" i="26"/>
  <c r="D362" i="26" l="1"/>
  <c r="J362" i="26" s="1"/>
  <c r="K363" i="26"/>
  <c r="D363" i="26" l="1"/>
  <c r="J363" i="26" s="1"/>
  <c r="K364" i="26"/>
  <c r="D364" i="26" l="1"/>
  <c r="J364" i="26" s="1"/>
  <c r="K365" i="26"/>
  <c r="D365" i="26" l="1"/>
  <c r="J365" i="26" s="1"/>
  <c r="K366" i="26"/>
  <c r="D366" i="26" l="1"/>
  <c r="J366" i="26" s="1"/>
  <c r="K367" i="26"/>
  <c r="D367" i="26" l="1"/>
  <c r="J367" i="26" s="1"/>
  <c r="K368" i="26"/>
  <c r="D368" i="26" l="1"/>
  <c r="J368" i="26" s="1"/>
  <c r="K369" i="26"/>
  <c r="D369" i="26" l="1"/>
  <c r="J369" i="26" s="1"/>
  <c r="K370" i="26"/>
  <c r="D370" i="26" l="1"/>
  <c r="J370" i="26" s="1"/>
  <c r="K371" i="26"/>
  <c r="D371" i="26" l="1"/>
  <c r="J371" i="26" s="1"/>
  <c r="K372" i="26"/>
  <c r="D372" i="26" l="1"/>
  <c r="J372" i="26" s="1"/>
  <c r="K373" i="26"/>
  <c r="D373" i="26" l="1"/>
  <c r="J373" i="26" s="1"/>
  <c r="K374" i="26"/>
  <c r="D374" i="26" l="1"/>
  <c r="J374" i="26" s="1"/>
  <c r="K375" i="26"/>
  <c r="D375" i="26" l="1"/>
  <c r="J375" i="26" s="1"/>
  <c r="K376" i="26"/>
  <c r="D376" i="26" l="1"/>
  <c r="J376" i="26" s="1"/>
  <c r="K377" i="26"/>
  <c r="D377" i="26" l="1"/>
  <c r="J377" i="26" s="1"/>
  <c r="K378" i="26"/>
  <c r="D378" i="26" l="1"/>
  <c r="J378" i="26" s="1"/>
  <c r="K379" i="26"/>
  <c r="D379" i="26" l="1"/>
  <c r="J379" i="26" s="1"/>
  <c r="K380" i="26"/>
  <c r="D380" i="26" l="1"/>
  <c r="J380" i="26" s="1"/>
  <c r="K381" i="26"/>
  <c r="D381" i="26" l="1"/>
  <c r="J381" i="26" s="1"/>
  <c r="K382" i="26"/>
  <c r="D382" i="26" l="1"/>
  <c r="J382" i="26" s="1"/>
  <c r="K383" i="26"/>
  <c r="D383" i="26" l="1"/>
  <c r="J383" i="26" s="1"/>
  <c r="K384" i="26"/>
  <c r="D384" i="26" l="1"/>
  <c r="J384" i="26" s="1"/>
  <c r="K385" i="26"/>
  <c r="D385" i="26" l="1"/>
  <c r="J385" i="26" s="1"/>
  <c r="K386" i="26"/>
  <c r="D386" i="26" l="1"/>
  <c r="J386" i="26" s="1"/>
  <c r="K387" i="26"/>
  <c r="D387" i="26" l="1"/>
  <c r="J387" i="26" s="1"/>
  <c r="K388" i="26"/>
  <c r="D388" i="26" l="1"/>
  <c r="J388" i="26" s="1"/>
  <c r="K389" i="26"/>
  <c r="D389" i="26" l="1"/>
  <c r="J389" i="26" s="1"/>
  <c r="K390" i="26"/>
  <c r="D390" i="26" l="1"/>
  <c r="J390" i="26" s="1"/>
  <c r="K391" i="26"/>
  <c r="D391" i="26" l="1"/>
  <c r="J391" i="26" s="1"/>
  <c r="K392" i="26"/>
  <c r="D392" i="26" l="1"/>
  <c r="J392" i="26" s="1"/>
  <c r="K393" i="26"/>
  <c r="D393" i="26" l="1"/>
  <c r="J393" i="26" s="1"/>
  <c r="K394" i="26"/>
  <c r="D394" i="26" l="1"/>
  <c r="J394" i="26" s="1"/>
  <c r="K395" i="26"/>
  <c r="D395" i="26" l="1"/>
  <c r="J395" i="26" s="1"/>
  <c r="K396" i="26"/>
  <c r="D396" i="26" l="1"/>
  <c r="J396" i="26" s="1"/>
  <c r="K397" i="26"/>
  <c r="D397" i="26" l="1"/>
  <c r="J397" i="26" s="1"/>
  <c r="K398" i="26"/>
  <c r="D398" i="26" l="1"/>
  <c r="J398" i="26" s="1"/>
  <c r="K399" i="26"/>
  <c r="D399" i="26" l="1"/>
  <c r="J399" i="26" s="1"/>
  <c r="K400" i="26"/>
  <c r="D400" i="26" l="1"/>
  <c r="J400" i="26" s="1"/>
  <c r="K401" i="26"/>
  <c r="D401" i="26" l="1"/>
  <c r="J401" i="26" s="1"/>
  <c r="K402" i="26"/>
  <c r="D402" i="26" l="1"/>
  <c r="J402" i="26" s="1"/>
  <c r="K403" i="26"/>
  <c r="D403" i="26" l="1"/>
  <c r="J403" i="26" s="1"/>
  <c r="K404" i="26"/>
  <c r="D404" i="26" l="1"/>
  <c r="J404" i="26" s="1"/>
  <c r="K405" i="26"/>
  <c r="D405" i="26" l="1"/>
  <c r="J405" i="26" s="1"/>
  <c r="K406" i="26"/>
  <c r="D406" i="26" l="1"/>
  <c r="J406" i="26" s="1"/>
  <c r="K407" i="26"/>
  <c r="D407" i="26" l="1"/>
  <c r="J407" i="26" s="1"/>
  <c r="K408" i="26"/>
  <c r="D408" i="26" l="1"/>
  <c r="J408" i="26" s="1"/>
  <c r="K409" i="26"/>
  <c r="D409" i="26" l="1"/>
  <c r="J409" i="26" s="1"/>
  <c r="K410" i="26"/>
  <c r="D410" i="26" l="1"/>
  <c r="J410" i="26" s="1"/>
  <c r="K411" i="26"/>
  <c r="D411" i="26" l="1"/>
  <c r="J411" i="26" s="1"/>
  <c r="K412" i="26"/>
  <c r="D412" i="26" l="1"/>
  <c r="J412" i="26" s="1"/>
  <c r="K413" i="26"/>
  <c r="D413" i="26" l="1"/>
  <c r="J413" i="26" s="1"/>
  <c r="K414" i="26"/>
  <c r="D414" i="26" l="1"/>
  <c r="J414" i="26" s="1"/>
  <c r="K415" i="26"/>
  <c r="D415" i="26" l="1"/>
  <c r="J415" i="26" s="1"/>
  <c r="K416" i="26"/>
  <c r="D416" i="26" l="1"/>
  <c r="J416" i="26" s="1"/>
  <c r="K417" i="26"/>
  <c r="D417" i="26" l="1"/>
  <c r="J417" i="26" s="1"/>
  <c r="K418" i="26"/>
  <c r="D418" i="26" l="1"/>
  <c r="J418" i="26" s="1"/>
  <c r="K419" i="26"/>
  <c r="D419" i="26" l="1"/>
  <c r="J419" i="26" s="1"/>
  <c r="K420" i="26"/>
  <c r="D420" i="26" l="1"/>
  <c r="J420" i="26" s="1"/>
  <c r="K421" i="26"/>
  <c r="D421" i="26" l="1"/>
  <c r="J421" i="26" s="1"/>
  <c r="K422" i="26"/>
  <c r="D422" i="26" l="1"/>
  <c r="J422" i="26" s="1"/>
  <c r="K423" i="26"/>
  <c r="D423" i="26" l="1"/>
  <c r="J423" i="26" s="1"/>
  <c r="K424" i="26"/>
  <c r="D424" i="26" l="1"/>
  <c r="J424" i="26" s="1"/>
  <c r="K425" i="26"/>
  <c r="D425" i="26" l="1"/>
  <c r="J425" i="26" s="1"/>
  <c r="K426" i="26"/>
  <c r="D426" i="26" l="1"/>
  <c r="J426" i="26" s="1"/>
  <c r="K427" i="26"/>
  <c r="D427" i="26" l="1"/>
  <c r="J427" i="26" s="1"/>
  <c r="K428" i="26"/>
  <c r="D428" i="26" l="1"/>
  <c r="J428" i="26" s="1"/>
  <c r="K429" i="26"/>
  <c r="D429" i="26" l="1"/>
  <c r="J429" i="26" s="1"/>
  <c r="K430" i="26"/>
  <c r="D430" i="26" l="1"/>
  <c r="J430" i="26" s="1"/>
  <c r="K431" i="26"/>
  <c r="D431" i="26" l="1"/>
  <c r="J431" i="26" s="1"/>
  <c r="K432" i="26"/>
  <c r="D432" i="26" l="1"/>
  <c r="J432" i="26" s="1"/>
  <c r="K433" i="26"/>
  <c r="D433" i="26" l="1"/>
  <c r="J433" i="26" s="1"/>
  <c r="K434" i="26"/>
  <c r="D434" i="26" l="1"/>
  <c r="J434" i="26" s="1"/>
  <c r="K435" i="26"/>
  <c r="D435" i="26" l="1"/>
  <c r="J435" i="26" s="1"/>
  <c r="K436" i="26"/>
  <c r="D436" i="26" l="1"/>
  <c r="J436" i="26" s="1"/>
  <c r="K437" i="26"/>
  <c r="D437" i="26" l="1"/>
  <c r="J437" i="26" s="1"/>
  <c r="K438" i="26"/>
  <c r="D438" i="26" l="1"/>
  <c r="J438" i="26" s="1"/>
  <c r="K439" i="26"/>
  <c r="D439" i="26" l="1"/>
  <c r="J439" i="26" s="1"/>
  <c r="K440" i="26"/>
  <c r="D440" i="26" l="1"/>
  <c r="J440" i="26" s="1"/>
  <c r="K441" i="26"/>
  <c r="D441" i="26" l="1"/>
  <c r="K815" i="26"/>
  <c r="D815" i="26" s="1"/>
  <c r="J815" i="26" s="1"/>
  <c r="D633" i="26" l="1"/>
  <c r="J441" i="26"/>
  <c r="D259" i="26"/>
  <c r="D632" i="26" s="1"/>
  <c r="J17" i="26" l="1"/>
  <c r="J18" i="26" s="1"/>
  <c r="J259" i="26"/>
  <c r="J632" i="26" s="1"/>
  <c r="L17" i="26"/>
  <c r="J633" i="26"/>
  <c r="N17" i="26" l="1"/>
  <c r="L18" i="2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<sst xmlns="http://schemas.openxmlformats.org/spreadsheetml/2006/main" count="470" uniqueCount="197">
  <si>
    <t>Housing Type</t>
  </si>
  <si>
    <t>Single Family</t>
  </si>
  <si>
    <t>Townhouse</t>
  </si>
  <si>
    <t>Development Type</t>
  </si>
  <si>
    <t>Without Incentives</t>
  </si>
  <si>
    <t>With Incentives</t>
  </si>
  <si>
    <t>Land Costs</t>
  </si>
  <si>
    <t>Total Project Costs</t>
  </si>
  <si>
    <t>No</t>
  </si>
  <si>
    <t>Yes/No</t>
  </si>
  <si>
    <t>Amount</t>
  </si>
  <si>
    <t>Construction Loan Rate</t>
  </si>
  <si>
    <t>Origination Fees</t>
  </si>
  <si>
    <t>DEVELOPMENT COST ESTIMATES</t>
  </si>
  <si>
    <t>FINANCING COSTS (TOTAL )</t>
  </si>
  <si>
    <t>per $100 assessed value</t>
  </si>
  <si>
    <t>AMI</t>
  </si>
  <si>
    <t>IRR</t>
  </si>
  <si>
    <t>Price at Time of Sale</t>
  </si>
  <si>
    <t>Construction Timeline (months)</t>
  </si>
  <si>
    <t>Rent Escalation Rate</t>
  </si>
  <si>
    <t>Property Sale</t>
  </si>
  <si>
    <t>Totals</t>
  </si>
  <si>
    <t>Low Rise</t>
  </si>
  <si>
    <t>Mid Rise</t>
  </si>
  <si>
    <t>High Rise</t>
  </si>
  <si>
    <t>Garden Apt</t>
  </si>
  <si>
    <t>CONSTRUCTION TIMELINE</t>
  </si>
  <si>
    <t>Affordable Units</t>
  </si>
  <si>
    <t>PROJECT INPUTS</t>
  </si>
  <si>
    <t>% of Units</t>
  </si>
  <si>
    <t>POLICY TESTING</t>
  </si>
  <si>
    <t>Month</t>
  </si>
  <si>
    <t>Dev Costs</t>
  </si>
  <si>
    <t>PreDev Costs</t>
  </si>
  <si>
    <t>Construction Months</t>
  </si>
  <si>
    <t>Predev Months</t>
  </si>
  <si>
    <t>Month of Sale</t>
  </si>
  <si>
    <t>Sales Commissions</t>
  </si>
  <si>
    <t>Operating Revenue</t>
  </si>
  <si>
    <t>WITH INCENTIVES</t>
  </si>
  <si>
    <t>MUNICIPAL FEES</t>
  </si>
  <si>
    <t>Type</t>
  </si>
  <si>
    <t>Months</t>
  </si>
  <si>
    <t>MODEL INPUTS &amp; CALCULATIONS</t>
  </si>
  <si>
    <t>DIFFERENCE</t>
  </si>
  <si>
    <t>Yield</t>
  </si>
  <si>
    <t>PREDEVELOPMENT TIMELINE</t>
  </si>
  <si>
    <t>SITE SIZES (ACRES)</t>
  </si>
  <si>
    <t>Likely Feasible</t>
  </si>
  <si>
    <t>Possibly Feasible</t>
  </si>
  <si>
    <t>reduction</t>
  </si>
  <si>
    <t>Submarket</t>
  </si>
  <si>
    <t>Total Units</t>
  </si>
  <si>
    <t>PROJECT COSTS SUMMARY</t>
  </si>
  <si>
    <t>Constr. Cost Months</t>
  </si>
  <si>
    <t>Equity Amount</t>
  </si>
  <si>
    <t>Monthly Construction Payments</t>
  </si>
  <si>
    <t>Revenue Assumptions</t>
  </si>
  <si>
    <t>Hard Cost Assumptions</t>
  </si>
  <si>
    <t>Land Cost Assumptions</t>
  </si>
  <si>
    <t>Soft Cost Assumptions</t>
  </si>
  <si>
    <t>Other Relevant Assumptions</t>
  </si>
  <si>
    <t>»</t>
  </si>
  <si>
    <t>Assumptions &gt;&gt;</t>
  </si>
  <si>
    <t>Primary Loan Amount</t>
  </si>
  <si>
    <t>Market Rate Units</t>
  </si>
  <si>
    <t>Construction Costs</t>
  </si>
  <si>
    <t>Pre-Development Costs</t>
  </si>
  <si>
    <t>&lt;- SELECT</t>
  </si>
  <si>
    <t>&lt;- ENTER</t>
  </si>
  <si>
    <t>FINANCE &amp; FINANCIAL ASSUMPTIONS</t>
  </si>
  <si>
    <t>WITHOUT INCENTIVES</t>
  </si>
  <si>
    <t>Construction Loan Timeframe</t>
  </si>
  <si>
    <t>Per Unit Total Development Cost</t>
  </si>
  <si>
    <t>Principal Payments</t>
  </si>
  <si>
    <t>Principal Paid</t>
  </si>
  <si>
    <t>Rate</t>
  </si>
  <si>
    <t>Note</t>
  </si>
  <si>
    <t xml:space="preserve">For users wishing to update any assumptions, cells this color </t>
  </si>
  <si>
    <t>Financial Assumptions</t>
  </si>
  <si>
    <t xml:space="preserve">LOAN &amp; OPERATING INPUTS </t>
  </si>
  <si>
    <t xml:space="preserve"> (Please make any changes on 'Financials' tab instead of here)</t>
  </si>
  <si>
    <t>OCCUPANCY RATES</t>
  </si>
  <si>
    <t>Market</t>
  </si>
  <si>
    <t>Affordable</t>
  </si>
  <si>
    <t xml:space="preserve">  Please avoid moving cell locations to prevent impacts to formulas or macros</t>
  </si>
  <si>
    <t xml:space="preserve"> (Please do not make any changes other than cells in dark yellow)</t>
  </si>
  <si>
    <t>PER UNIT LAND COSTS</t>
  </si>
  <si>
    <t>City</t>
  </si>
  <si>
    <t>Durham</t>
  </si>
  <si>
    <t>AMI Band</t>
  </si>
  <si>
    <t>Chapel Hill</t>
  </si>
  <si>
    <t>Cary</t>
  </si>
  <si>
    <t>Apex</t>
  </si>
  <si>
    <t>Lower Priced</t>
  </si>
  <si>
    <t>Higher Priced</t>
  </si>
  <si>
    <t>Module 4</t>
  </si>
  <si>
    <t>What project type has the highest margin project in your city? What project types pencil?</t>
  </si>
  <si>
    <t>15 minutes</t>
  </si>
  <si>
    <t>Is this the same in other cities in the region?</t>
  </si>
  <si>
    <t>What combinations create viable projects?</t>
  </si>
  <si>
    <t>Raleigh</t>
  </si>
  <si>
    <t>Gross Profit Margin</t>
  </si>
  <si>
    <t>PER UNIT SALE PRICE BY HOUSING TYPE</t>
  </si>
  <si>
    <t>LOWER PRICED</t>
  </si>
  <si>
    <t>HIGHER PRICED</t>
  </si>
  <si>
    <t>NOI</t>
  </si>
  <si>
    <t>Principal Remaining</t>
  </si>
  <si>
    <t>incentive IRRs</t>
  </si>
  <si>
    <t>Loan-to-Cost Ratio</t>
  </si>
  <si>
    <t>Equity Outlays</t>
  </si>
  <si>
    <t>Equity Remaining</t>
  </si>
  <si>
    <t>Equity IRR</t>
  </si>
  <si>
    <t>Project IRR</t>
  </si>
  <si>
    <t xml:space="preserve">MODULE 1 |  </t>
  </si>
  <si>
    <t>FEASIBILITY THRESHOLDS</t>
  </si>
  <si>
    <t>GROSS MARGIN</t>
  </si>
  <si>
    <t>Questions</t>
  </si>
  <si>
    <t xml:space="preserve">INSTRUCTIONS: Select a city of your choice and follow question prompts to answer </t>
  </si>
  <si>
    <t xml:space="preserve">INSTRUCTIONS: Select a city  and development type of your choice and follow question prompts to answer </t>
  </si>
  <si>
    <t>What is the gross margin of your project with no required affordable units?</t>
  </si>
  <si>
    <t xml:space="preserve">What is the gross margin of your project with 10% required affordable units at 80% AMI? </t>
  </si>
  <si>
    <t>How does gross margin change with 10% affordable at 60% AMI? 50% AMI?</t>
  </si>
  <si>
    <t>What is the gross margin of your project with 20% required affordable units at 80% AMI?</t>
  </si>
  <si>
    <t>How do these findings change if you change submarket?</t>
  </si>
  <si>
    <t>EQUITY IRR CALCULATIONS</t>
  </si>
  <si>
    <t>PROJECT IRR CALCULATIONS</t>
  </si>
  <si>
    <t>How does project performance change if project approval takes 12 months? 24 months? 6 months?</t>
  </si>
  <si>
    <t>How does IRR change with 10% required affordable units? 20% affordable units?</t>
  </si>
  <si>
    <t xml:space="preserve">MODULE 4 |  </t>
  </si>
  <si>
    <t xml:space="preserve">MODULE 3 |  </t>
  </si>
  <si>
    <t>PROJECT FEASIBILITY</t>
  </si>
  <si>
    <t>Program</t>
  </si>
  <si>
    <t>Total Amount Provided</t>
  </si>
  <si>
    <t>EQUITY IRR WITH INCENTIVES CALCULATIONS</t>
  </si>
  <si>
    <t>PROJECT IRR WITH INCENTIVES CALCULATIONS</t>
  </si>
  <si>
    <t>PROJECT IRR</t>
  </si>
  <si>
    <t>EQUITY IRR</t>
  </si>
  <si>
    <t>Loan-to-Cost</t>
  </si>
  <si>
    <t>Fee Reduction</t>
  </si>
  <si>
    <t>percent reduced</t>
  </si>
  <si>
    <t>General Use Instructions:</t>
  </si>
  <si>
    <t>Cells this color</t>
  </si>
  <si>
    <t>allow users to enter or select project details</t>
  </si>
  <si>
    <t>These cells are either drop-down menus or direct entry cells.</t>
  </si>
  <si>
    <r>
      <t xml:space="preserve"> Drop-down menus are highlighted by a thicker outline and the word </t>
    </r>
    <r>
      <rPr>
        <sz val="11"/>
        <color theme="3"/>
        <rFont val="Daytona Condensed"/>
        <family val="2"/>
      </rPr>
      <t xml:space="preserve">&lt;- SELECT </t>
    </r>
  </si>
  <si>
    <r>
      <t xml:space="preserve">Direct entry cells have no thick outline and are highlighted by the word </t>
    </r>
    <r>
      <rPr>
        <sz val="11"/>
        <color theme="3"/>
        <rFont val="Daytona Condensed"/>
        <family val="2"/>
      </rPr>
      <t>&lt;- ENTER</t>
    </r>
  </si>
  <si>
    <t>are calculations and/or formulas, and are generally not meant to be directly changed by the user</t>
  </si>
  <si>
    <t>Cell formulas and calculations often reference other model assumptions or typical financial methods.</t>
  </si>
  <si>
    <t>Model Instructions &gt;&gt;</t>
  </si>
  <si>
    <t>This workbook uses modules to analyze different housing feasibility scenarios. Each module is designed for different analyses, but all use the same model inputs.</t>
  </si>
  <si>
    <r>
      <t xml:space="preserve">Users enter or select key information about their project in the </t>
    </r>
    <r>
      <rPr>
        <b/>
        <sz val="11"/>
        <color theme="1"/>
        <rFont val="Calibri"/>
        <family val="2"/>
        <scheme val="minor"/>
      </rPr>
      <t>Project Inputs</t>
    </r>
    <r>
      <rPr>
        <sz val="11"/>
        <color theme="1"/>
        <rFont val="Calibri"/>
        <family val="2"/>
        <scheme val="minor"/>
      </rPr>
      <t xml:space="preserve"> section, and the results are presented under the </t>
    </r>
    <r>
      <rPr>
        <b/>
        <sz val="11"/>
        <color theme="1"/>
        <rFont val="Calibri"/>
        <family val="2"/>
        <scheme val="minor"/>
      </rPr>
      <t>Project Feasibility</t>
    </r>
    <r>
      <rPr>
        <sz val="11"/>
        <color theme="1"/>
        <rFont val="Calibri"/>
        <family val="2"/>
        <scheme val="minor"/>
      </rPr>
      <t xml:space="preserve"> heading. </t>
    </r>
  </si>
  <si>
    <t>These cells are mostly found in the 'Project Inputs' and 'Policy Testing' sections of the worksheet</t>
  </si>
  <si>
    <t>The following tab consists of:</t>
  </si>
  <si>
    <t xml:space="preserve">directly link to the module inputs and calculations. All modules reference the same model inputs. </t>
  </si>
  <si>
    <t xml:space="preserve"> Use Restrictions &amp; Warnings:</t>
  </si>
  <si>
    <t>This workbook was developed by Line and Grade, LLC in May 2026 for informational and educational purposes only. The creators of this workbook do not guarantee the accuracy of any content provided.</t>
  </si>
  <si>
    <t>AVERAGE / TYPICAL PER UNIT CONSTRUCTION COSTS</t>
  </si>
  <si>
    <t>Tax Relief / Abatement</t>
  </si>
  <si>
    <t>Under 50 units</t>
  </si>
  <si>
    <t>Over 50 units</t>
  </si>
  <si>
    <t>PER UNIT PRE-CONSTRUCTION COSTS</t>
  </si>
  <si>
    <t>What is the gross margin of a mid rise project in a higher priced submarket?</t>
  </si>
  <si>
    <t>For that same city, what is the gross margin of a single family project in a lower priced submarket?</t>
  </si>
  <si>
    <t>Market Rate Price</t>
  </si>
  <si>
    <t>Affordable Rate Price</t>
  </si>
  <si>
    <t>Pre-Construction Timeline (months)</t>
  </si>
  <si>
    <t>Pre-Construction Costs</t>
  </si>
  <si>
    <t xml:space="preserve"> Loan Rate</t>
  </si>
  <si>
    <t>Loan Timeframe</t>
  </si>
  <si>
    <t>Outlays</t>
  </si>
  <si>
    <t>Preconst. Months</t>
  </si>
  <si>
    <t>How does project performance change as loan-to-cost (aka how much equity is required) changes? What metrics are affected? Why?</t>
  </si>
  <si>
    <t>Month of Sale (post-construction)</t>
  </si>
  <si>
    <t>FINANCIAL DETAILS</t>
  </si>
  <si>
    <t>How do different policies affect feasibility?</t>
  </si>
  <si>
    <t>Question:</t>
  </si>
  <si>
    <t>PROPERTY TAX</t>
  </si>
  <si>
    <t>Property Tax Rate</t>
  </si>
  <si>
    <t>Percent Reduction</t>
  </si>
  <si>
    <t>TAX ABATEMENT NET PRESENT VALUE CALCULATIONS</t>
  </si>
  <si>
    <t>Blended Avg Price</t>
  </si>
  <si>
    <t>assumes 10 years</t>
  </si>
  <si>
    <t>Net Present Value per unit</t>
  </si>
  <si>
    <t>Estimated Municipal Fees</t>
  </si>
  <si>
    <t>Forgivable Loan</t>
  </si>
  <si>
    <t>amount</t>
  </si>
  <si>
    <t>NPV Sale Increase</t>
  </si>
  <si>
    <t>Land Subsidy</t>
  </si>
  <si>
    <t>INSTRUCTIONS: Mess around with the full model</t>
  </si>
  <si>
    <t>How does changing assumptions change outcomes?</t>
  </si>
  <si>
    <t>Please see the 'Assumptions' tab for information about model inputs.</t>
  </si>
  <si>
    <t>Pre-Construction Project Costs</t>
  </si>
  <si>
    <t>Per Unit SF</t>
  </si>
  <si>
    <t>Per Unit MF</t>
  </si>
  <si>
    <t>Base (regardless of units)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</si>
</sst>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_);[Red]\(&quot;$&quot;#,##0\)"/>
    <numFmt numFmtId="8" formatCode="&quot;$&quot;#,##0.00_);[Red]\(&quot;$&quot;#,##0.00\)"/>
    <numFmt numFmtId="44" formatCode="_(&quot;$&quot;* #,##0.00_);_(&quot;$&quot;* \(#,##0.00\);_(&quot;$&quot;* &quot;-&quot;??_);_(@_)"/>
    <numFmt numFmtId="164" formatCode="_(&quot;$&quot;* #,##0_);_(&quot;$&quot;* \(#,##0\);_(&quot;$&quot;* &quot;-&quot;??_);_(@_)"/>
    <numFmt numFmtId="165" formatCode="0.0%"/>
    <numFmt numFmtId="166" formatCode="&quot;$&quot;#,##0"/>
  </numFmts>
  <fonts count="61">
    <font>
      <sz val="11"/>
      <color theme="1"/>
      <name val="Calibri"/>
      <family val="2"/>
      <scheme val="minor"/>
    </font>
    <font>
      <sz val="11"/>
      <color theme="1"/>
      <name val="Calibri"/>
      <family val="2"/>
      <scheme val="minor"/>
    </font>
    <font>
      <b/>
      <sz val="11"/>
      <color theme="1"/>
      <name val="Calibri"/>
      <family val="2"/>
      <scheme val="minor"/>
    </font>
    <font>
      <sz val="11"/>
      <color rgb="FF9C5700"/>
      <name val="Calibri"/>
      <family val="2"/>
      <scheme val="minor"/>
    </font>
    <font>
      <b/>
      <sz val="11"/>
      <color theme="0"/>
      <name val="Calibri"/>
      <family val="2"/>
      <scheme val="minor"/>
    </font>
    <font>
      <sz val="11"/>
      <color theme="1"/>
      <name val="Daytona Condensed"/>
      <family val="2"/>
    </font>
    <font>
      <b/>
      <sz val="12"/>
      <color theme="0"/>
      <name val="Daytona Condensed"/>
      <family val="2"/>
    </font>
    <font>
      <sz val="11"/>
      <color theme="0"/>
      <name val="Daytona Condensed"/>
      <family val="2"/>
    </font>
    <font>
      <b/>
      <sz val="14"/>
      <color theme="0"/>
      <name val="Daytona Condensed"/>
      <family val="2"/>
    </font>
    <font>
      <b/>
      <sz val="12"/>
      <color theme="1"/>
      <name val="Daytona Condensed"/>
      <family val="2"/>
    </font>
    <font>
      <b/>
      <sz val="11"/>
      <color theme="1"/>
      <name val="Daytona Condensed"/>
      <family val="2"/>
    </font>
    <font>
      <sz val="14"/>
      <color theme="1"/>
      <name val="Daytona Condensed"/>
      <family val="2"/>
    </font>
    <font>
      <b/>
      <sz val="11"/>
      <color theme="0" tint="-0.499984740745262"/>
      <name val="Daytona Condensed"/>
      <family val="2"/>
    </font>
    <font>
      <sz val="11"/>
      <color theme="5" tint="0.79998168889431442"/>
      <name val="Daytona Condensed"/>
      <family val="2"/>
    </font>
    <font>
      <sz val="11"/>
      <color theme="0" tint="-0.499984740745262"/>
      <name val="Daytona Condensed"/>
      <family val="2"/>
    </font>
    <font>
      <i/>
      <sz val="10"/>
      <color theme="1"/>
      <name val="Daytona Condensed"/>
      <family val="2"/>
    </font>
    <font>
      <sz val="11"/>
      <color theme="2" tint="-9.9978637043366805E-2"/>
      <name val="Daytona Condensed"/>
      <family val="2"/>
    </font>
    <font>
      <sz val="11"/>
      <color theme="5" tint="-0.499984740745262"/>
      <name val="Daytona Condensed"/>
      <family val="2"/>
    </font>
    <font>
      <sz val="11"/>
      <color theme="2"/>
      <name val="Daytona Condensed"/>
      <family val="2"/>
    </font>
    <font>
      <sz val="8"/>
      <color theme="1"/>
      <name val="Daytona Condensed"/>
      <family val="2"/>
    </font>
    <font>
      <sz val="11"/>
      <color theme="2" tint="-0.249977111117893"/>
      <name val="Daytona Condensed"/>
      <family val="2"/>
    </font>
    <font>
      <b/>
      <sz val="11"/>
      <color theme="5" tint="-0.499984740745262"/>
      <name val="Daytona Condensed"/>
      <family val="2"/>
    </font>
    <font>
      <sz val="11"/>
      <color theme="0" tint="-0.249977111117893"/>
      <name val="Daytona Condensed"/>
      <family val="2"/>
    </font>
    <font>
      <sz val="11"/>
      <color theme="1"/>
      <name val="Aptos"/>
      <family val="2"/>
    </font>
    <font>
      <b/>
      <sz val="12"/>
      <name val="Daytona Condensed"/>
      <family val="2"/>
    </font>
    <font>
      <sz val="12"/>
      <color theme="5" tint="-0.499984740745262"/>
      <name val="Daytona Condensed"/>
      <family val="2"/>
    </font>
    <font>
      <b/>
      <sz val="11"/>
      <color theme="0"/>
      <name val="Daytona Condensed"/>
      <family val="2"/>
    </font>
    <font>
      <b/>
      <sz val="11"/>
      <color rgb="FFFF0000"/>
      <name val="Daytona Condensed"/>
      <family val="2"/>
    </font>
    <font>
      <strike/>
      <sz val="11"/>
      <color theme="1"/>
      <name val="Daytona Condensed"/>
      <family val="2"/>
    </font>
    <font>
      <sz val="10"/>
      <name val="Daytona Condensed"/>
      <family val="2"/>
    </font>
    <font>
      <sz val="11"/>
      <color rgb="FFFF0000"/>
      <name val="Daytona Condensed"/>
      <family val="2"/>
    </font>
    <font>
      <sz val="14"/>
      <color rgb="FF2A3E62"/>
      <name val="Calibri"/>
      <family val="2"/>
      <scheme val="minor"/>
    </font>
    <font>
      <sz val="11"/>
      <color rgb="FFE0B828"/>
      <name val="Courier New"/>
      <family val="3"/>
    </font>
    <font>
      <b/>
      <sz val="20"/>
      <color rgb="FFE0B828"/>
      <name val="Calibri"/>
      <family val="2"/>
      <scheme val="minor"/>
    </font>
    <font>
      <sz val="11"/>
      <name val="Daytona Condensed"/>
      <family val="2"/>
    </font>
    <font>
      <b/>
      <sz val="10"/>
      <color theme="0"/>
      <name val="Daytona Condensed"/>
      <family val="2"/>
    </font>
    <font>
      <sz val="8"/>
      <color theme="3"/>
      <name val="Daytona Condensed"/>
      <family val="2"/>
    </font>
    <font>
      <sz val="12"/>
      <color theme="1"/>
      <name val="Daytona Condensed"/>
      <family val="2"/>
    </font>
    <font>
      <u/>
      <sz val="11"/>
      <color theme="10"/>
      <name val="Calibri"/>
      <family val="2"/>
      <scheme val="minor"/>
    </font>
    <font>
      <b/>
      <sz val="11"/>
      <color theme="1"/>
      <name val="Aptos"/>
      <family val="2"/>
    </font>
    <font>
      <b/>
      <sz val="16"/>
      <color theme="0"/>
      <name val="Daytona Condensed"/>
      <family val="2"/>
    </font>
    <font>
      <sz val="16"/>
      <color theme="1"/>
      <name val="Daytona Condensed"/>
      <family val="2"/>
    </font>
    <font>
      <b/>
      <sz val="16"/>
      <color theme="1"/>
      <name val="Daytona Condensed"/>
      <family val="2"/>
    </font>
    <font>
      <b/>
      <sz val="20"/>
      <color theme="0"/>
      <name val="Daytona Condensed"/>
      <family val="2"/>
    </font>
    <font>
      <b/>
      <sz val="16"/>
      <color theme="1"/>
      <name val="Calibri"/>
      <family val="2"/>
      <scheme val="minor"/>
    </font>
    <font>
      <sz val="14"/>
      <color theme="1"/>
      <name val="Calibri"/>
      <family val="2"/>
      <scheme val="minor"/>
    </font>
    <font>
      <sz val="16"/>
      <color theme="1"/>
      <name val="Calibri"/>
      <family val="2"/>
      <scheme val="minor"/>
    </font>
    <font>
      <sz val="14"/>
      <color theme="5" tint="-0.499984740745262"/>
      <name val="Daytona Condensed"/>
      <family val="2"/>
    </font>
    <font>
      <b/>
      <sz val="14"/>
      <color theme="1"/>
      <name val="Daytona Condensed"/>
      <family val="2"/>
    </font>
    <font>
      <sz val="16"/>
      <color theme="5" tint="-0.499984740745262"/>
      <name val="Daytona Condensed"/>
      <family val="2"/>
    </font>
    <font>
      <sz val="16"/>
      <color theme="3"/>
      <name val="Daytona Condensed"/>
      <family val="2"/>
    </font>
    <font>
      <sz val="14"/>
      <color rgb="FFFF0000"/>
      <name val="Daytona Condensed"/>
      <family val="2"/>
    </font>
    <font>
      <b/>
      <sz val="14"/>
      <color theme="0" tint="-0.499984740745262"/>
      <name val="Daytona Condensed"/>
      <family val="2"/>
    </font>
    <font>
      <sz val="14"/>
      <color theme="0" tint="-0.499984740745262"/>
      <name val="Daytona Condensed"/>
      <family val="2"/>
    </font>
    <font>
      <sz val="11"/>
      <color theme="3"/>
      <name val="Daytona Condensed"/>
      <family val="2"/>
    </font>
    <font>
      <b/>
      <sz val="12"/>
      <color theme="5" tint="-0.499984740745262"/>
      <name val="Daytona Condensed"/>
      <family val="2"/>
    </font>
    <font>
      <sz val="10"/>
      <color theme="1"/>
      <name val="Daytona Condensed"/>
      <family val="2"/>
    </font>
    <font>
      <b/>
      <sz val="8"/>
      <color theme="1"/>
      <name val="Daytona Condensed"/>
      <family val="2"/>
    </font>
    <font>
      <b/>
      <sz val="12"/>
      <color theme="0" tint="-0.499984740745262"/>
      <name val="Daytona Condensed"/>
      <family val="2"/>
    </font>
    <font>
      <sz val="12"/>
      <color rgb="FFFF0000"/>
      <name val="Daytona Condensed"/>
      <family val="2"/>
    </font>
    <font>
      <sz val="12"/>
      <color theme="0" tint="-0.499984740745262"/>
      <name val="Daytona Condensed"/>
      <family val="2"/>
    </font>
  </fonts>
  <fills count="13">
    <fill>
      <patternFill patternType="none"/>
    </fill>
    <fill>
      <patternFill patternType="gray125"/>
    </fill>
    <fill>
      <patternFill patternType="solid">
        <fgColor rgb="FFFFEB9C"/>
      </patternFill>
    </fill>
    <fill>
      <patternFill patternType="solid">
        <fgColor rgb="FFA5A5A5"/>
      </patternFill>
    </fill>
    <fill>
      <patternFill patternType="solid">
        <fgColor theme="0"/>
        <bgColor indexed="64"/>
      </patternFill>
    </fill>
    <fill>
      <patternFill patternType="solid">
        <fgColor theme="2"/>
        <bgColor indexed="64"/>
      </patternFill>
    </fill>
    <fill>
      <patternFill patternType="solid">
        <fgColor theme="5" tint="0.39997558519241921"/>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rgb="FFE0B828"/>
        <bgColor indexed="64"/>
      </patternFill>
    </fill>
    <fill>
      <patternFill patternType="solid">
        <fgColor rgb="FF2A3E62"/>
        <bgColor indexed="64"/>
      </patternFill>
    </fill>
    <fill>
      <patternFill patternType="solid">
        <fgColor rgb="FF8D9EAE"/>
        <bgColor indexed="64"/>
      </patternFill>
    </fill>
    <fill>
      <patternFill patternType="solid">
        <fgColor rgb="FFF6EBC2"/>
        <bgColor indexed="64"/>
      </patternFill>
    </fill>
  </fills>
  <borders count="47">
    <border>
      <left/>
      <right/>
      <top/>
      <bottom/>
      <diagonal/>
    </border>
    <border>
      <left style="double">
        <color rgb="FF3F3F3F"/>
      </left>
      <right style="double">
        <color rgb="FF3F3F3F"/>
      </right>
      <top style="double">
        <color rgb="FF3F3F3F"/>
      </top>
      <bottom style="double">
        <color rgb="FF3F3F3F"/>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top style="thin">
        <color theme="0" tint="-0.34998626667073579"/>
      </top>
      <bottom style="thin">
        <color theme="0" tint="-0.34998626667073579"/>
      </bottom>
      <diagonal/>
    </border>
    <border>
      <left/>
      <right/>
      <top style="thin">
        <color theme="0" tint="-0.34998626667073579"/>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n">
        <color rgb="FF2A3E62"/>
      </left>
      <right style="thin">
        <color rgb="FF2A3E62"/>
      </right>
      <top style="thin">
        <color rgb="FF2A3E62"/>
      </top>
      <bottom style="thin">
        <color rgb="FF2A3E62"/>
      </bottom>
      <diagonal/>
    </border>
    <border>
      <left style="thin">
        <color rgb="FF2A3E62"/>
      </left>
      <right/>
      <top style="thin">
        <color rgb="FF2A3E62"/>
      </top>
      <bottom style="thin">
        <color rgb="FF2A3E62"/>
      </bottom>
      <diagonal/>
    </border>
    <border>
      <left style="thin">
        <color rgb="FF2A3E62"/>
      </left>
      <right/>
      <top style="thin">
        <color rgb="FF2A3E62"/>
      </top>
      <bottom style="thin">
        <color indexed="64"/>
      </bottom>
      <diagonal/>
    </border>
    <border>
      <left style="thin">
        <color rgb="FF2A3E62"/>
      </left>
      <right/>
      <top/>
      <bottom/>
      <diagonal/>
    </border>
    <border>
      <left/>
      <right style="thin">
        <color rgb="FF2A3E62"/>
      </right>
      <top/>
      <bottom/>
      <diagonal/>
    </border>
    <border>
      <left style="thin">
        <color indexed="64"/>
      </left>
      <right style="thin">
        <color rgb="FF2A3E62"/>
      </right>
      <top style="thin">
        <color indexed="64"/>
      </top>
      <bottom style="thin">
        <color indexed="64"/>
      </bottom>
      <diagonal/>
    </border>
    <border>
      <left style="thin">
        <color rgb="FF2A3E62"/>
      </left>
      <right/>
      <top/>
      <bottom style="thin">
        <color rgb="FF2A3E62"/>
      </bottom>
      <diagonal/>
    </border>
    <border>
      <left/>
      <right style="thin">
        <color rgb="FF2A3E62"/>
      </right>
      <top/>
      <bottom style="thin">
        <color rgb="FF2A3E62"/>
      </bottom>
      <diagonal/>
    </border>
    <border>
      <left/>
      <right style="thin">
        <color rgb="FF2A3E62"/>
      </right>
      <top style="thin">
        <color theme="0" tint="-0.34998626667073579"/>
      </top>
      <bottom style="thin">
        <color rgb="FF2A3E62"/>
      </bottom>
      <diagonal/>
    </border>
    <border>
      <left style="medium">
        <color indexed="64"/>
      </left>
      <right style="medium">
        <color indexed="64"/>
      </right>
      <top style="medium">
        <color indexed="64"/>
      </top>
      <bottom/>
      <diagonal/>
    </border>
    <border>
      <left style="medium">
        <color rgb="FF2A3E62"/>
      </left>
      <right style="medium">
        <color rgb="FF2A3E62"/>
      </right>
      <top style="medium">
        <color rgb="FF2A3E62"/>
      </top>
      <bottom/>
      <diagonal/>
    </border>
    <border>
      <left style="medium">
        <color rgb="FF2A3E62"/>
      </left>
      <right style="medium">
        <color rgb="FF2A3E62"/>
      </right>
      <top/>
      <bottom style="medium">
        <color rgb="FF2A3E62"/>
      </bottom>
      <diagonal/>
    </border>
    <border>
      <left style="thin">
        <color indexed="64"/>
      </left>
      <right/>
      <top style="thin">
        <color indexed="64"/>
      </top>
      <bottom/>
      <diagonal/>
    </border>
    <border>
      <left style="thin">
        <color indexed="64"/>
      </left>
      <right/>
      <top/>
      <bottom style="medium">
        <color indexed="64"/>
      </bottom>
      <diagonal/>
    </border>
    <border>
      <left style="double">
        <color indexed="64"/>
      </left>
      <right style="double">
        <color indexed="64"/>
      </right>
      <top style="double">
        <color indexed="64"/>
      </top>
      <bottom style="double">
        <color indexed="64"/>
      </bottom>
      <diagonal/>
    </border>
    <border>
      <left style="thin">
        <color indexed="64"/>
      </left>
      <right/>
      <top/>
      <bottom style="thin">
        <color indexed="64"/>
      </bottom>
      <diagonal/>
    </border>
    <border>
      <left/>
      <right style="thin">
        <color indexed="64"/>
      </right>
      <top style="thin">
        <color indexed="64"/>
      </top>
      <bottom style="thin">
        <color theme="0" tint="-0.34998626667073579"/>
      </bottom>
      <diagonal/>
    </border>
    <border>
      <left/>
      <right style="thin">
        <color indexed="64"/>
      </right>
      <top style="thin">
        <color theme="0" tint="-0.34998626667073579"/>
      </top>
      <bottom style="thin">
        <color indexed="64"/>
      </bottom>
      <diagonal/>
    </border>
    <border>
      <left style="thin">
        <color indexed="64"/>
      </left>
      <right/>
      <top/>
      <bottom/>
      <diagonal/>
    </border>
    <border>
      <left/>
      <right style="thin">
        <color indexed="64"/>
      </right>
      <top/>
      <bottom/>
      <diagonal/>
    </border>
    <border>
      <left/>
      <right style="thin">
        <color indexed="64"/>
      </right>
      <top style="thin">
        <color theme="0" tint="-0.34998626667073579"/>
      </top>
      <bottom style="thin">
        <color theme="0" tint="-0.34998626667073579"/>
      </bottom>
      <diagonal/>
    </border>
    <border>
      <left style="thin">
        <color indexed="64"/>
      </left>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right style="thin">
        <color indexed="64"/>
      </right>
      <top style="thin">
        <color rgb="FF2A3E62"/>
      </top>
      <bottom style="thin">
        <color indexed="64"/>
      </bottom>
      <diagonal/>
    </border>
    <border>
      <left/>
      <right style="thin">
        <color indexed="64"/>
      </right>
      <top/>
      <bottom style="thin">
        <color indexed="64"/>
      </bottom>
      <diagonal/>
    </border>
    <border>
      <left style="thin">
        <color indexed="64"/>
      </left>
      <right style="double">
        <color indexed="64"/>
      </right>
      <top style="thin">
        <color indexed="64"/>
      </top>
      <bottom/>
      <diagonal/>
    </border>
    <border>
      <left/>
      <right/>
      <top/>
      <bottom style="thin">
        <color theme="0" tint="-0.34998626667073579"/>
      </bottom>
      <diagonal/>
    </border>
  </borders>
  <cellStyleXfs count="6">
    <xf numFmtId="0" fontId="0" fillId="0" borderId="0"/>
    <xf numFmtId="44" fontId="1" fillId="0" borderId="0" applyFont="0" applyFill="0" applyBorder="0" applyAlignment="0" applyProtection="0"/>
    <xf numFmtId="9" fontId="1" fillId="0" borderId="0" applyFont="0" applyFill="0" applyBorder="0" applyAlignment="0" applyProtection="0"/>
    <xf numFmtId="0" fontId="3" fillId="2" borderId="0" applyNumberFormat="0" applyBorder="0" applyAlignment="0" applyProtection="0"/>
    <xf numFmtId="0" fontId="4" fillId="3" borderId="1" applyNumberFormat="0" applyAlignment="0" applyProtection="0"/>
    <xf numFmtId="0" fontId="38" fillId="0" borderId="0" applyNumberFormat="0" applyFill="0" applyBorder="0" applyAlignment="0" applyProtection="0"/>
  </cellStyleXfs>
  <cellXfs count="240">
    <xf numFmtId="0" fontId="0" fillId="0" borderId="0" xfId="0"/>
    <xf numFmtId="0" fontId="2" fillId="0" borderId="0" xfId="0" applyFont="1"/>
    <xf numFmtId="0" fontId="5" fillId="4" borderId="0" xfId="0" applyFont="1" applyFill="1"/>
    <xf numFmtId="0" fontId="5" fillId="0" borderId="0" xfId="0" applyFont="1"/>
    <xf numFmtId="0" fontId="5" fillId="5" borderId="2" xfId="0" applyFont="1" applyFill="1" applyBorder="1"/>
    <xf numFmtId="0" fontId="5" fillId="5" borderId="3" xfId="0" applyFont="1" applyFill="1" applyBorder="1"/>
    <xf numFmtId="0" fontId="5" fillId="5" borderId="4" xfId="0" applyFont="1" applyFill="1" applyBorder="1"/>
    <xf numFmtId="0" fontId="5" fillId="5" borderId="0" xfId="0" applyFont="1" applyFill="1"/>
    <xf numFmtId="0" fontId="10" fillId="5" borderId="0" xfId="0" applyFont="1" applyFill="1" applyAlignment="1">
      <alignment horizontal="right"/>
    </xf>
    <xf numFmtId="0" fontId="5" fillId="5" borderId="0" xfId="0" applyFont="1" applyFill="1" applyAlignment="1">
      <alignment horizontal="center"/>
    </xf>
    <xf numFmtId="0" fontId="5" fillId="5" borderId="0" xfId="0" applyFont="1" applyFill="1" applyAlignment="1">
      <alignment horizontal="right"/>
    </xf>
    <xf numFmtId="0" fontId="14" fillId="5" borderId="0" xfId="0" applyFont="1" applyFill="1"/>
    <xf numFmtId="0" fontId="5" fillId="5" borderId="5" xfId="0" applyFont="1" applyFill="1" applyBorder="1"/>
    <xf numFmtId="0" fontId="5" fillId="5" borderId="0" xfId="0" applyFont="1" applyFill="1" applyAlignment="1">
      <alignment horizontal="center" vertical="center"/>
    </xf>
    <xf numFmtId="0" fontId="5" fillId="5" borderId="12" xfId="0" applyFont="1" applyFill="1" applyBorder="1"/>
    <xf numFmtId="8" fontId="19" fillId="5" borderId="0" xfId="0" applyNumberFormat="1" applyFont="1" applyFill="1"/>
    <xf numFmtId="8" fontId="5" fillId="5" borderId="0" xfId="0" applyNumberFormat="1" applyFont="1" applyFill="1"/>
    <xf numFmtId="0" fontId="18" fillId="5" borderId="0" xfId="0" applyFont="1" applyFill="1"/>
    <xf numFmtId="0" fontId="5" fillId="5" borderId="12" xfId="0" applyFont="1" applyFill="1" applyBorder="1" applyAlignment="1">
      <alignment horizontal="right"/>
    </xf>
    <xf numFmtId="164" fontId="18" fillId="5" borderId="0" xfId="1" applyNumberFormat="1" applyFont="1" applyFill="1" applyBorder="1"/>
    <xf numFmtId="9" fontId="16" fillId="5" borderId="0" xfId="2" applyFont="1" applyFill="1" applyBorder="1"/>
    <xf numFmtId="164" fontId="18" fillId="5" borderId="0" xfId="1" applyNumberFormat="1" applyFont="1" applyFill="1" applyBorder="1" applyAlignment="1">
      <alignment horizontal="center" vertical="center"/>
    </xf>
    <xf numFmtId="0" fontId="22" fillId="5" borderId="0" xfId="0" applyFont="1" applyFill="1"/>
    <xf numFmtId="6" fontId="22" fillId="5" borderId="0" xfId="0" applyNumberFormat="1" applyFont="1" applyFill="1"/>
    <xf numFmtId="6" fontId="5" fillId="5" borderId="0" xfId="0" applyNumberFormat="1" applyFont="1" applyFill="1"/>
    <xf numFmtId="165" fontId="5" fillId="5" borderId="0" xfId="0" applyNumberFormat="1" applyFont="1" applyFill="1"/>
    <xf numFmtId="0" fontId="23" fillId="0" borderId="0" xfId="0" applyFont="1"/>
    <xf numFmtId="9" fontId="24" fillId="5" borderId="0" xfId="0" applyNumberFormat="1" applyFont="1" applyFill="1" applyAlignment="1">
      <alignment horizontal="center" vertical="center"/>
    </xf>
    <xf numFmtId="0" fontId="5" fillId="5" borderId="13" xfId="0" applyFont="1" applyFill="1" applyBorder="1" applyAlignment="1">
      <alignment horizontal="left" vertical="center"/>
    </xf>
    <xf numFmtId="6" fontId="20" fillId="5" borderId="0" xfId="0" applyNumberFormat="1" applyFont="1" applyFill="1" applyAlignment="1">
      <alignment horizontal="right" vertical="center"/>
    </xf>
    <xf numFmtId="0" fontId="2" fillId="0" borderId="9" xfId="0" applyFont="1" applyBorder="1"/>
    <xf numFmtId="0" fontId="0" fillId="0" borderId="9" xfId="0" applyBorder="1"/>
    <xf numFmtId="0" fontId="0" fillId="0" borderId="6" xfId="0" applyBorder="1"/>
    <xf numFmtId="0" fontId="0" fillId="8" borderId="6" xfId="0" applyFill="1" applyBorder="1"/>
    <xf numFmtId="0" fontId="2" fillId="8" borderId="6" xfId="0" applyFont="1" applyFill="1" applyBorder="1" applyAlignment="1">
      <alignment horizontal="center" vertical="center"/>
    </xf>
    <xf numFmtId="0" fontId="23" fillId="0" borderId="6" xfId="0" applyFont="1" applyBorder="1"/>
    <xf numFmtId="0" fontId="6" fillId="10" borderId="0" xfId="0" applyFont="1" applyFill="1"/>
    <xf numFmtId="0" fontId="7" fillId="10" borderId="0" xfId="0" applyFont="1" applyFill="1"/>
    <xf numFmtId="0" fontId="8" fillId="11" borderId="0" xfId="0" applyFont="1" applyFill="1"/>
    <xf numFmtId="0" fontId="9" fillId="11" borderId="0" xfId="0" applyFont="1" applyFill="1"/>
    <xf numFmtId="0" fontId="8" fillId="11" borderId="0" xfId="0" applyFont="1" applyFill="1" applyAlignment="1">
      <alignment vertical="center"/>
    </xf>
    <xf numFmtId="0" fontId="6" fillId="11" borderId="0" xfId="0" applyFont="1" applyFill="1"/>
    <xf numFmtId="0" fontId="8" fillId="10" borderId="0" xfId="0" applyFont="1" applyFill="1"/>
    <xf numFmtId="165" fontId="17" fillId="12" borderId="12" xfId="2" applyNumberFormat="1" applyFont="1" applyFill="1" applyBorder="1" applyAlignment="1">
      <alignment horizontal="right" vertical="center"/>
    </xf>
    <xf numFmtId="0" fontId="17" fillId="12" borderId="12" xfId="0" applyFont="1" applyFill="1" applyBorder="1" applyAlignment="1">
      <alignment horizontal="right" vertical="center"/>
    </xf>
    <xf numFmtId="166" fontId="21" fillId="12" borderId="12" xfId="0" applyNumberFormat="1" applyFont="1" applyFill="1" applyBorder="1" applyAlignment="1">
      <alignment horizontal="right" vertical="center"/>
    </xf>
    <xf numFmtId="166" fontId="17" fillId="12" borderId="12" xfId="0" applyNumberFormat="1" applyFont="1" applyFill="1" applyBorder="1" applyAlignment="1">
      <alignment horizontal="right" vertical="center"/>
    </xf>
    <xf numFmtId="6" fontId="17" fillId="12" borderId="12" xfId="0" applyNumberFormat="1" applyFont="1" applyFill="1" applyBorder="1" applyAlignment="1">
      <alignment horizontal="right" vertical="center"/>
    </xf>
    <xf numFmtId="0" fontId="25" fillId="12" borderId="12" xfId="0" applyFont="1" applyFill="1" applyBorder="1" applyAlignment="1">
      <alignment horizontal="center" vertical="center"/>
    </xf>
    <xf numFmtId="166" fontId="17" fillId="12" borderId="12" xfId="3" applyNumberFormat="1" applyFont="1" applyFill="1" applyBorder="1" applyAlignment="1">
      <alignment horizontal="center" vertical="center"/>
    </xf>
    <xf numFmtId="0" fontId="12" fillId="5" borderId="0" xfId="0" applyFont="1" applyFill="1" applyAlignment="1">
      <alignment horizontal="center" vertical="center"/>
    </xf>
    <xf numFmtId="0" fontId="5" fillId="5" borderId="0" xfId="1" applyNumberFormat="1" applyFont="1" applyFill="1" applyBorder="1" applyAlignment="1">
      <alignment horizontal="center" vertical="center"/>
    </xf>
    <xf numFmtId="6" fontId="5" fillId="5" borderId="0" xfId="0" applyNumberFormat="1" applyFont="1" applyFill="1" applyAlignment="1">
      <alignment horizontal="center" vertical="center"/>
    </xf>
    <xf numFmtId="6" fontId="10" fillId="5" borderId="0" xfId="0" applyNumberFormat="1" applyFont="1" applyFill="1" applyAlignment="1">
      <alignment horizontal="center" vertical="center"/>
    </xf>
    <xf numFmtId="14" fontId="5" fillId="5" borderId="0" xfId="0" applyNumberFormat="1" applyFont="1" applyFill="1" applyAlignment="1">
      <alignment horizontal="left"/>
    </xf>
    <xf numFmtId="0" fontId="28" fillId="0" borderId="0" xfId="0" applyFont="1"/>
    <xf numFmtId="0" fontId="5" fillId="10" borderId="0" xfId="0" applyFont="1" applyFill="1"/>
    <xf numFmtId="0" fontId="8" fillId="7" borderId="15" xfId="4" applyFont="1" applyFill="1" applyBorder="1" applyAlignment="1">
      <alignment horizontal="center" vertical="center"/>
    </xf>
    <xf numFmtId="0" fontId="9" fillId="5" borderId="17" xfId="0" applyFont="1" applyFill="1" applyBorder="1" applyAlignment="1">
      <alignment horizontal="center" vertical="center"/>
    </xf>
    <xf numFmtId="0" fontId="29" fillId="5" borderId="0" xfId="0" applyFont="1" applyFill="1" applyAlignment="1">
      <alignment horizontal="left" vertical="center"/>
    </xf>
    <xf numFmtId="0" fontId="30" fillId="5" borderId="0" xfId="0" applyFont="1" applyFill="1"/>
    <xf numFmtId="165" fontId="8" fillId="6" borderId="16" xfId="2" applyNumberFormat="1" applyFont="1" applyFill="1" applyBorder="1" applyAlignment="1">
      <alignment horizontal="center" vertical="center"/>
    </xf>
    <xf numFmtId="0" fontId="13" fillId="5" borderId="0" xfId="0" applyFont="1" applyFill="1"/>
    <xf numFmtId="0" fontId="8" fillId="10" borderId="0" xfId="0" applyFont="1" applyFill="1" applyAlignment="1">
      <alignment vertical="center"/>
    </xf>
    <xf numFmtId="0" fontId="9" fillId="10" borderId="0" xfId="0" applyFont="1" applyFill="1"/>
    <xf numFmtId="166" fontId="0" fillId="0" borderId="0" xfId="0" applyNumberFormat="1"/>
    <xf numFmtId="0" fontId="0" fillId="0" borderId="7" xfId="0" applyBorder="1"/>
    <xf numFmtId="0" fontId="32" fillId="0" borderId="0" xfId="0" applyFont="1" applyAlignment="1">
      <alignment horizontal="right"/>
    </xf>
    <xf numFmtId="0" fontId="31" fillId="0" borderId="7" xfId="0" applyFont="1" applyBorder="1"/>
    <xf numFmtId="0" fontId="33" fillId="0" borderId="0" xfId="0" applyFont="1"/>
    <xf numFmtId="10" fontId="26" fillId="9" borderId="6" xfId="0" applyNumberFormat="1" applyFont="1" applyFill="1" applyBorder="1" applyAlignment="1">
      <alignment horizontal="left"/>
    </xf>
    <xf numFmtId="1" fontId="6" fillId="9" borderId="6" xfId="0" applyNumberFormat="1" applyFont="1" applyFill="1" applyBorder="1" applyAlignment="1">
      <alignment horizontal="center" vertical="center"/>
    </xf>
    <xf numFmtId="14" fontId="7" fillId="9" borderId="20" xfId="0" applyNumberFormat="1" applyFont="1" applyFill="1" applyBorder="1" applyAlignment="1">
      <alignment horizontal="left"/>
    </xf>
    <xf numFmtId="0" fontId="5" fillId="5" borderId="0" xfId="0" applyFont="1" applyFill="1" applyAlignment="1">
      <alignment horizontal="left"/>
    </xf>
    <xf numFmtId="0" fontId="5" fillId="8" borderId="23" xfId="0" applyFont="1" applyFill="1" applyBorder="1" applyAlignment="1">
      <alignment horizontal="right"/>
    </xf>
    <xf numFmtId="0" fontId="15" fillId="8" borderId="24" xfId="0" applyFont="1" applyFill="1" applyBorder="1" applyAlignment="1">
      <alignment horizontal="center" vertical="top"/>
    </xf>
    <xf numFmtId="9" fontId="26" fillId="9" borderId="25" xfId="2" applyFont="1" applyFill="1" applyBorder="1" applyAlignment="1">
      <alignment horizontal="center"/>
    </xf>
    <xf numFmtId="0" fontId="15" fillId="8" borderId="27" xfId="0" applyFont="1" applyFill="1" applyBorder="1" applyAlignment="1">
      <alignment horizontal="center" vertical="top"/>
    </xf>
    <xf numFmtId="0" fontId="10" fillId="8" borderId="21" xfId="0" applyFont="1" applyFill="1" applyBorder="1" applyAlignment="1">
      <alignment horizontal="right"/>
    </xf>
    <xf numFmtId="0" fontId="18" fillId="8" borderId="23" xfId="0" applyFont="1" applyFill="1" applyBorder="1"/>
    <xf numFmtId="0" fontId="5" fillId="8" borderId="26" xfId="0" applyFont="1" applyFill="1" applyBorder="1"/>
    <xf numFmtId="0" fontId="8" fillId="7" borderId="29" xfId="4" applyFont="1" applyFill="1" applyBorder="1" applyAlignment="1">
      <alignment horizontal="center" vertical="center"/>
    </xf>
    <xf numFmtId="0" fontId="36" fillId="5" borderId="0" xfId="0" applyFont="1" applyFill="1"/>
    <xf numFmtId="9" fontId="35" fillId="9" borderId="14" xfId="2" applyFont="1" applyFill="1" applyBorder="1" applyAlignment="1">
      <alignment horizontal="center" vertical="center"/>
    </xf>
    <xf numFmtId="0" fontId="34" fillId="5" borderId="0" xfId="0" applyFont="1" applyFill="1" applyAlignment="1">
      <alignment horizontal="right" wrapText="1"/>
    </xf>
    <xf numFmtId="0" fontId="5" fillId="8" borderId="32" xfId="0" applyFont="1" applyFill="1" applyBorder="1" applyAlignment="1">
      <alignment horizontal="right" vertical="center"/>
    </xf>
    <xf numFmtId="0" fontId="17" fillId="12" borderId="12" xfId="2" applyNumberFormat="1" applyFont="1" applyFill="1" applyBorder="1" applyAlignment="1">
      <alignment horizontal="right" vertical="center"/>
    </xf>
    <xf numFmtId="0" fontId="26" fillId="9" borderId="34" xfId="0" applyFont="1" applyFill="1" applyBorder="1" applyAlignment="1">
      <alignment horizontal="center"/>
    </xf>
    <xf numFmtId="0" fontId="6" fillId="9" borderId="34" xfId="0" applyFont="1" applyFill="1" applyBorder="1" applyAlignment="1">
      <alignment horizontal="center"/>
    </xf>
    <xf numFmtId="9" fontId="26" fillId="9" borderId="34" xfId="2" applyFont="1" applyFill="1" applyBorder="1" applyAlignment="1">
      <alignment horizontal="center"/>
    </xf>
    <xf numFmtId="0" fontId="0" fillId="0" borderId="6" xfId="0" applyBorder="1" applyAlignment="1">
      <alignment horizontal="left" vertical="center"/>
    </xf>
    <xf numFmtId="44" fontId="5" fillId="5" borderId="0" xfId="1" applyFont="1" applyFill="1"/>
    <xf numFmtId="10" fontId="8" fillId="7" borderId="29" xfId="4" applyNumberFormat="1" applyFont="1" applyFill="1" applyBorder="1" applyAlignment="1">
      <alignment horizontal="center" vertical="center"/>
    </xf>
    <xf numFmtId="164" fontId="23" fillId="9" borderId="6" xfId="0" applyNumberFormat="1" applyFont="1" applyFill="1" applyBorder="1"/>
    <xf numFmtId="44" fontId="0" fillId="9" borderId="0" xfId="1" applyFont="1" applyFill="1"/>
    <xf numFmtId="0" fontId="0" fillId="0" borderId="0" xfId="0" applyAlignment="1">
      <alignment horizontal="right"/>
    </xf>
    <xf numFmtId="0" fontId="5" fillId="8" borderId="33" xfId="0" applyFont="1" applyFill="1" applyBorder="1" applyAlignment="1">
      <alignment horizontal="right" vertical="center"/>
    </xf>
    <xf numFmtId="0" fontId="35" fillId="11" borderId="0" xfId="0" applyFont="1" applyFill="1" applyAlignment="1">
      <alignment horizontal="right"/>
    </xf>
    <xf numFmtId="6" fontId="5" fillId="0" borderId="0" xfId="0" applyNumberFormat="1" applyFont="1"/>
    <xf numFmtId="0" fontId="39" fillId="0" borderId="0" xfId="0" applyFont="1"/>
    <xf numFmtId="164" fontId="0" fillId="0" borderId="0" xfId="0" applyNumberFormat="1"/>
    <xf numFmtId="164" fontId="19" fillId="5" borderId="0" xfId="1" applyNumberFormat="1" applyFont="1" applyFill="1" applyAlignment="1">
      <alignment horizontal="center" vertical="center"/>
    </xf>
    <xf numFmtId="0" fontId="38" fillId="5" borderId="5" xfId="5" quotePrefix="1" applyFill="1" applyBorder="1"/>
    <xf numFmtId="6" fontId="19" fillId="5" borderId="0" xfId="0" applyNumberFormat="1" applyFont="1" applyFill="1"/>
    <xf numFmtId="0" fontId="40" fillId="9" borderId="34" xfId="0" applyFont="1" applyFill="1" applyBorder="1" applyAlignment="1">
      <alignment horizontal="center"/>
    </xf>
    <xf numFmtId="0" fontId="41" fillId="5" borderId="0" xfId="0" applyFont="1" applyFill="1"/>
    <xf numFmtId="0" fontId="44" fillId="0" borderId="0" xfId="0" applyFont="1"/>
    <xf numFmtId="0" fontId="45" fillId="0" borderId="0" xfId="0" applyFont="1"/>
    <xf numFmtId="0" fontId="46" fillId="0" borderId="0" xfId="0" applyFont="1"/>
    <xf numFmtId="0" fontId="8" fillId="9" borderId="34" xfId="0" applyFont="1" applyFill="1" applyBorder="1" applyAlignment="1">
      <alignment horizontal="center"/>
    </xf>
    <xf numFmtId="0" fontId="47" fillId="12" borderId="12" xfId="0" applyFont="1" applyFill="1" applyBorder="1" applyAlignment="1">
      <alignment horizontal="center" vertical="center"/>
    </xf>
    <xf numFmtId="9" fontId="8" fillId="9" borderId="34" xfId="2" applyFont="1" applyFill="1" applyBorder="1" applyAlignment="1">
      <alignment horizontal="center"/>
    </xf>
    <xf numFmtId="9" fontId="8" fillId="9" borderId="14" xfId="2" applyFont="1" applyFill="1" applyBorder="1" applyAlignment="1">
      <alignment horizontal="center" vertical="center"/>
    </xf>
    <xf numFmtId="0" fontId="11" fillId="5" borderId="0" xfId="0" applyFont="1" applyFill="1"/>
    <xf numFmtId="9" fontId="40" fillId="9" borderId="34" xfId="2" applyFont="1" applyFill="1" applyBorder="1" applyAlignment="1">
      <alignment horizontal="center"/>
    </xf>
    <xf numFmtId="9" fontId="40" fillId="9" borderId="14" xfId="2" applyFont="1" applyFill="1" applyBorder="1" applyAlignment="1">
      <alignment horizontal="center" vertical="center"/>
    </xf>
    <xf numFmtId="0" fontId="49" fillId="12" borderId="36" xfId="0" applyFont="1" applyFill="1" applyBorder="1" applyAlignment="1">
      <alignment horizontal="center" vertical="center"/>
    </xf>
    <xf numFmtId="0" fontId="5" fillId="8" borderId="35" xfId="0" applyFont="1" applyFill="1" applyBorder="1" applyAlignment="1">
      <alignment horizontal="right" vertical="center"/>
    </xf>
    <xf numFmtId="0" fontId="51" fillId="5" borderId="0" xfId="0" applyFont="1" applyFill="1"/>
    <xf numFmtId="0" fontId="40" fillId="7" borderId="15" xfId="4" applyFont="1" applyFill="1" applyBorder="1" applyAlignment="1">
      <alignment horizontal="center" vertical="center"/>
    </xf>
    <xf numFmtId="0" fontId="48" fillId="5" borderId="17" xfId="0" applyFont="1" applyFill="1" applyBorder="1" applyAlignment="1">
      <alignment horizontal="center" vertical="center"/>
    </xf>
    <xf numFmtId="0" fontId="46" fillId="0" borderId="7" xfId="0" applyFont="1" applyBorder="1"/>
    <xf numFmtId="0" fontId="11" fillId="4" borderId="0" xfId="0" applyFont="1" applyFill="1"/>
    <xf numFmtId="0" fontId="11" fillId="5" borderId="4" xfId="0" applyFont="1" applyFill="1" applyBorder="1"/>
    <xf numFmtId="0" fontId="11" fillId="0" borderId="0" xfId="0" applyFont="1"/>
    <xf numFmtId="166" fontId="47" fillId="12" borderId="12" xfId="3" applyNumberFormat="1" applyFont="1" applyFill="1" applyBorder="1" applyAlignment="1">
      <alignment horizontal="center" vertical="center"/>
    </xf>
    <xf numFmtId="0" fontId="41" fillId="4" borderId="0" xfId="0" applyFont="1" applyFill="1"/>
    <xf numFmtId="0" fontId="41" fillId="5" borderId="4" xfId="0" applyFont="1" applyFill="1" applyBorder="1"/>
    <xf numFmtId="0" fontId="41" fillId="0" borderId="0" xfId="0" applyFont="1"/>
    <xf numFmtId="0" fontId="5" fillId="5" borderId="18" xfId="0" applyFont="1" applyFill="1" applyBorder="1"/>
    <xf numFmtId="0" fontId="50" fillId="5" borderId="0" xfId="0" applyFont="1" applyFill="1"/>
    <xf numFmtId="9" fontId="34" fillId="5" borderId="0" xfId="0" applyNumberFormat="1" applyFont="1" applyFill="1" applyAlignment="1">
      <alignment horizontal="right" vertical="center"/>
    </xf>
    <xf numFmtId="0" fontId="40" fillId="11" borderId="0" xfId="0" applyFont="1" applyFill="1" applyAlignment="1">
      <alignment vertical="center"/>
    </xf>
    <xf numFmtId="0" fontId="11" fillId="5" borderId="5" xfId="0" applyFont="1" applyFill="1" applyBorder="1"/>
    <xf numFmtId="0" fontId="11" fillId="5" borderId="0" xfId="0" applyFont="1" applyFill="1" applyAlignment="1">
      <alignment horizontal="right"/>
    </xf>
    <xf numFmtId="0" fontId="52" fillId="5" borderId="0" xfId="0" applyFont="1" applyFill="1" applyAlignment="1">
      <alignment horizontal="center" vertical="center"/>
    </xf>
    <xf numFmtId="0" fontId="53" fillId="5" borderId="0" xfId="0" applyFont="1" applyFill="1"/>
    <xf numFmtId="0" fontId="36" fillId="5" borderId="5" xfId="0" applyFont="1" applyFill="1" applyBorder="1"/>
    <xf numFmtId="0" fontId="42" fillId="11" borderId="5" xfId="0" applyFont="1" applyFill="1" applyBorder="1"/>
    <xf numFmtId="0" fontId="5" fillId="5" borderId="5" xfId="0" applyFont="1" applyFill="1" applyBorder="1" applyAlignment="1">
      <alignment horizontal="center"/>
    </xf>
    <xf numFmtId="0" fontId="52" fillId="5" borderId="5" xfId="0" applyFont="1" applyFill="1" applyBorder="1" applyAlignment="1">
      <alignment horizontal="center" vertical="center"/>
    </xf>
    <xf numFmtId="0" fontId="53" fillId="5" borderId="5" xfId="0" applyFont="1" applyFill="1" applyBorder="1"/>
    <xf numFmtId="0" fontId="5" fillId="5" borderId="5" xfId="0" applyFont="1" applyFill="1" applyBorder="1" applyAlignment="1">
      <alignment horizontal="right"/>
    </xf>
    <xf numFmtId="44" fontId="25" fillId="12" borderId="28" xfId="1" applyFont="1" applyFill="1" applyBorder="1" applyAlignment="1">
      <alignment horizontal="center" vertical="center"/>
    </xf>
    <xf numFmtId="0" fontId="5" fillId="8" borderId="22" xfId="0" applyFont="1" applyFill="1" applyBorder="1" applyAlignment="1">
      <alignment horizontal="right"/>
    </xf>
    <xf numFmtId="0" fontId="2" fillId="0" borderId="0" xfId="0" applyFont="1" applyAlignment="1">
      <alignment horizontal="right"/>
    </xf>
    <xf numFmtId="0" fontId="55" fillId="12" borderId="12" xfId="0" applyFont="1" applyFill="1" applyBorder="1" applyAlignment="1">
      <alignment horizontal="center" vertical="center"/>
    </xf>
    <xf numFmtId="0" fontId="5" fillId="5" borderId="10" xfId="0" applyFont="1" applyFill="1" applyBorder="1"/>
    <xf numFmtId="0" fontId="42" fillId="11" borderId="0" xfId="0" applyFont="1" applyFill="1"/>
    <xf numFmtId="0" fontId="34" fillId="5" borderId="11" xfId="0" applyFont="1" applyFill="1" applyBorder="1" applyAlignment="1">
      <alignment horizontal="right" wrapText="1"/>
    </xf>
    <xf numFmtId="9" fontId="24" fillId="5" borderId="11" xfId="0" applyNumberFormat="1" applyFont="1" applyFill="1" applyBorder="1" applyAlignment="1">
      <alignment horizontal="center" vertical="center"/>
    </xf>
    <xf numFmtId="0" fontId="36" fillId="5" borderId="11" xfId="0" applyFont="1" applyFill="1" applyBorder="1"/>
    <xf numFmtId="0" fontId="36" fillId="5" borderId="19" xfId="0" applyFont="1" applyFill="1" applyBorder="1"/>
    <xf numFmtId="0" fontId="5" fillId="8" borderId="38" xfId="0" applyFont="1" applyFill="1" applyBorder="1" applyAlignment="1">
      <alignment horizontal="right" vertical="center"/>
    </xf>
    <xf numFmtId="166" fontId="49" fillId="12" borderId="40" xfId="3" applyNumberFormat="1" applyFont="1" applyFill="1" applyBorder="1" applyAlignment="1">
      <alignment horizontal="center" vertical="center"/>
    </xf>
    <xf numFmtId="166" fontId="49" fillId="12" borderId="37" xfId="3" applyNumberFormat="1" applyFont="1" applyFill="1" applyBorder="1" applyAlignment="1">
      <alignment horizontal="center" vertical="center"/>
    </xf>
    <xf numFmtId="0" fontId="49" fillId="12" borderId="40" xfId="3" applyNumberFormat="1" applyFont="1" applyFill="1" applyBorder="1" applyAlignment="1">
      <alignment horizontal="center" vertical="center"/>
    </xf>
    <xf numFmtId="9" fontId="6" fillId="9" borderId="34" xfId="2" applyFont="1" applyFill="1" applyBorder="1" applyAlignment="1">
      <alignment horizontal="center"/>
    </xf>
    <xf numFmtId="0" fontId="17" fillId="12" borderId="36" xfId="0" applyFont="1" applyFill="1" applyBorder="1" applyAlignment="1">
      <alignment horizontal="center" vertical="center"/>
    </xf>
    <xf numFmtId="166" fontId="17" fillId="12" borderId="40" xfId="3" applyNumberFormat="1" applyFont="1" applyFill="1" applyBorder="1" applyAlignment="1">
      <alignment horizontal="center" vertical="center"/>
    </xf>
    <xf numFmtId="0" fontId="17" fillId="12" borderId="40" xfId="3" applyNumberFormat="1" applyFont="1" applyFill="1" applyBorder="1" applyAlignment="1">
      <alignment horizontal="center" vertical="center"/>
    </xf>
    <xf numFmtId="166" fontId="17" fillId="12" borderId="37" xfId="3" applyNumberFormat="1" applyFont="1" applyFill="1" applyBorder="1" applyAlignment="1">
      <alignment horizontal="center" vertical="center"/>
    </xf>
    <xf numFmtId="8" fontId="57" fillId="5" borderId="0" xfId="0" applyNumberFormat="1" applyFont="1" applyFill="1"/>
    <xf numFmtId="0" fontId="10" fillId="8" borderId="41" xfId="0" applyFont="1" applyFill="1" applyBorder="1" applyAlignment="1">
      <alignment horizontal="right"/>
    </xf>
    <xf numFmtId="0" fontId="26" fillId="9" borderId="42" xfId="0" applyFont="1" applyFill="1" applyBorder="1" applyAlignment="1">
      <alignment horizontal="center"/>
    </xf>
    <xf numFmtId="0" fontId="5" fillId="8" borderId="38" xfId="0" applyFont="1" applyFill="1" applyBorder="1" applyAlignment="1">
      <alignment horizontal="right"/>
    </xf>
    <xf numFmtId="0" fontId="15" fillId="8" borderId="39" xfId="0" applyFont="1" applyFill="1" applyBorder="1" applyAlignment="1">
      <alignment horizontal="center" vertical="top"/>
    </xf>
    <xf numFmtId="9" fontId="26" fillId="9" borderId="43" xfId="2" applyFont="1" applyFill="1" applyBorder="1" applyAlignment="1">
      <alignment horizontal="center"/>
    </xf>
    <xf numFmtId="0" fontId="5" fillId="8" borderId="35" xfId="0" applyFont="1" applyFill="1" applyBorder="1" applyAlignment="1">
      <alignment horizontal="right"/>
    </xf>
    <xf numFmtId="0" fontId="15" fillId="8" borderId="44" xfId="0" applyFont="1" applyFill="1" applyBorder="1" applyAlignment="1">
      <alignment horizontal="center" vertical="top"/>
    </xf>
    <xf numFmtId="0" fontId="10" fillId="8" borderId="45" xfId="0" applyFont="1" applyFill="1" applyBorder="1" applyAlignment="1">
      <alignment horizontal="right"/>
    </xf>
    <xf numFmtId="0" fontId="10" fillId="8" borderId="35" xfId="0" applyFont="1" applyFill="1" applyBorder="1" applyAlignment="1">
      <alignment horizontal="right"/>
    </xf>
    <xf numFmtId="6" fontId="17" fillId="12" borderId="37" xfId="3" applyNumberFormat="1" applyFont="1" applyFill="1" applyBorder="1" applyAlignment="1">
      <alignment horizontal="center" vertical="center"/>
    </xf>
    <xf numFmtId="9" fontId="26" fillId="9" borderId="6" xfId="2" applyFont="1" applyFill="1" applyBorder="1" applyAlignment="1">
      <alignment horizontal="center"/>
    </xf>
    <xf numFmtId="6" fontId="5" fillId="5" borderId="0" xfId="0" applyNumberFormat="1" applyFont="1" applyFill="1" applyAlignment="1">
      <alignment horizontal="left"/>
    </xf>
    <xf numFmtId="6" fontId="56" fillId="5" borderId="0" xfId="0" applyNumberFormat="1" applyFont="1" applyFill="1" applyAlignment="1">
      <alignment horizontal="right"/>
    </xf>
    <xf numFmtId="0" fontId="5" fillId="5" borderId="46" xfId="0" applyFont="1" applyFill="1" applyBorder="1"/>
    <xf numFmtId="0" fontId="5" fillId="5" borderId="46" xfId="0" applyFont="1" applyFill="1" applyBorder="1" applyAlignment="1">
      <alignment horizontal="right"/>
    </xf>
    <xf numFmtId="0" fontId="37" fillId="4" borderId="0" xfId="0" applyFont="1" applyFill="1"/>
    <xf numFmtId="0" fontId="37" fillId="5" borderId="4" xfId="0" applyFont="1" applyFill="1" applyBorder="1"/>
    <xf numFmtId="0" fontId="37" fillId="5" borderId="0" xfId="0" applyFont="1" applyFill="1" applyAlignment="1">
      <alignment horizontal="right"/>
    </xf>
    <xf numFmtId="166" fontId="25" fillId="12" borderId="12" xfId="3" applyNumberFormat="1" applyFont="1" applyFill="1" applyBorder="1" applyAlignment="1">
      <alignment horizontal="center" vertical="center"/>
    </xf>
    <xf numFmtId="0" fontId="58" fillId="5" borderId="0" xfId="0" applyFont="1" applyFill="1" applyAlignment="1">
      <alignment horizontal="center" vertical="center"/>
    </xf>
    <xf numFmtId="0" fontId="37" fillId="5" borderId="0" xfId="0" applyFont="1" applyFill="1"/>
    <xf numFmtId="0" fontId="59" fillId="5" borderId="0" xfId="0" applyFont="1" applyFill="1"/>
    <xf numFmtId="0" fontId="37" fillId="5" borderId="5" xfId="0" applyFont="1" applyFill="1" applyBorder="1"/>
    <xf numFmtId="0" fontId="37" fillId="0" borderId="0" xfId="0" applyFont="1"/>
    <xf numFmtId="0" fontId="60" fillId="5" borderId="0" xfId="0" applyFont="1" applyFill="1"/>
    <xf numFmtId="0" fontId="37" fillId="5" borderId="12" xfId="0" applyFont="1" applyFill="1" applyBorder="1"/>
    <xf numFmtId="166" fontId="25" fillId="12" borderId="12" xfId="1" applyNumberFormat="1" applyFont="1" applyFill="1" applyBorder="1" applyAlignment="1">
      <alignment horizontal="right" vertical="center"/>
    </xf>
    <xf numFmtId="166" fontId="25" fillId="12" borderId="12" xfId="0" applyNumberFormat="1" applyFont="1" applyFill="1" applyBorder="1" applyAlignment="1">
      <alignment horizontal="right" vertical="center"/>
    </xf>
    <xf numFmtId="6" fontId="25" fillId="12" borderId="12" xfId="0" applyNumberFormat="1" applyFont="1" applyFill="1" applyBorder="1" applyAlignment="1">
      <alignment horizontal="right" vertical="center"/>
    </xf>
    <xf numFmtId="44" fontId="37" fillId="5" borderId="0" xfId="1" applyFont="1" applyFill="1"/>
    <xf numFmtId="165" fontId="25" fillId="12" borderId="12" xfId="2" applyNumberFormat="1" applyFont="1" applyFill="1" applyBorder="1" applyAlignment="1">
      <alignment horizontal="right" vertical="center"/>
    </xf>
    <xf numFmtId="166" fontId="26" fillId="9" borderId="43" xfId="0" applyNumberFormat="1" applyFont="1" applyFill="1" applyBorder="1" applyAlignment="1">
      <alignment horizontal="center"/>
    </xf>
    <xf numFmtId="0" fontId="5" fillId="5" borderId="12" xfId="0" applyFont="1" applyFill="1" applyBorder="1" applyAlignment="1">
      <alignment horizontal="left"/>
    </xf>
    <xf numFmtId="0" fontId="0" fillId="8" borderId="6" xfId="0" applyFill="1" applyBorder="1" applyAlignment="1">
      <alignment horizontal="center" vertical="center"/>
    </xf>
    <xf numFmtId="164" fontId="0" fillId="9" borderId="6" xfId="0" applyNumberFormat="1" applyFill="1" applyBorder="1" applyAlignment="1">
      <alignment horizontal="center" vertical="center"/>
    </xf>
    <xf numFmtId="9" fontId="1" fillId="9" borderId="6" xfId="2" applyFont="1" applyFill="1" applyBorder="1" applyAlignment="1">
      <alignment horizontal="center"/>
    </xf>
    <xf numFmtId="44" fontId="1" fillId="9" borderId="6" xfId="1" applyFont="1" applyFill="1" applyBorder="1" applyAlignment="1">
      <alignment horizontal="center"/>
    </xf>
    <xf numFmtId="9" fontId="1" fillId="0" borderId="0" xfId="2" applyFont="1"/>
    <xf numFmtId="0" fontId="0" fillId="9" borderId="6" xfId="0" applyFill="1" applyBorder="1"/>
    <xf numFmtId="9" fontId="1" fillId="9" borderId="6" xfId="2" applyFont="1" applyFill="1" applyBorder="1" applyAlignment="1">
      <alignment horizontal="right" vertical="center"/>
    </xf>
    <xf numFmtId="165" fontId="1" fillId="9" borderId="6" xfId="2" applyNumberFormat="1" applyFont="1" applyFill="1" applyBorder="1" applyAlignment="1">
      <alignment horizontal="right" vertical="center"/>
    </xf>
    <xf numFmtId="0" fontId="0" fillId="9" borderId="6" xfId="0" applyFill="1" applyBorder="1" applyAlignment="1">
      <alignment horizontal="right" vertical="center"/>
    </xf>
    <xf numFmtId="0" fontId="0" fillId="8" borderId="6" xfId="0" applyFill="1" applyBorder="1" applyAlignment="1">
      <alignment vertical="center"/>
    </xf>
    <xf numFmtId="9" fontId="0" fillId="9" borderId="6" xfId="0" applyNumberFormat="1" applyFill="1" applyBorder="1" applyAlignment="1">
      <alignment horizontal="center" vertical="center"/>
    </xf>
    <xf numFmtId="10" fontId="1" fillId="9" borderId="6" xfId="2" applyNumberFormat="1" applyFont="1" applyFill="1" applyBorder="1"/>
    <xf numFmtId="0" fontId="5" fillId="8" borderId="2" xfId="0" applyFont="1" applyFill="1" applyBorder="1"/>
    <xf numFmtId="0" fontId="5" fillId="8" borderId="4" xfId="0" applyFont="1" applyFill="1" applyBorder="1"/>
    <xf numFmtId="165" fontId="5" fillId="8" borderId="4" xfId="2" applyNumberFormat="1" applyFont="1" applyFill="1" applyBorder="1"/>
    <xf numFmtId="0" fontId="5" fillId="8" borderId="10" xfId="0" applyFont="1" applyFill="1" applyBorder="1"/>
    <xf numFmtId="0" fontId="5" fillId="8" borderId="3" xfId="0" applyFont="1" applyFill="1" applyBorder="1"/>
    <xf numFmtId="0" fontId="5" fillId="8" borderId="18" xfId="0" applyFont="1" applyFill="1" applyBorder="1"/>
    <xf numFmtId="0" fontId="5" fillId="8" borderId="0" xfId="0" applyFont="1" applyFill="1"/>
    <xf numFmtId="0" fontId="5" fillId="8" borderId="5" xfId="0" applyFont="1" applyFill="1" applyBorder="1"/>
    <xf numFmtId="0" fontId="37" fillId="8" borderId="7" xfId="0" applyFont="1" applyFill="1" applyBorder="1" applyAlignment="1">
      <alignment horizontal="center" vertical="center"/>
    </xf>
    <xf numFmtId="0" fontId="37" fillId="8" borderId="0" xfId="0" applyFont="1" applyFill="1" applyAlignment="1">
      <alignment horizontal="center" vertical="center"/>
    </xf>
    <xf numFmtId="0" fontId="5" fillId="8" borderId="19" xfId="0" applyFont="1" applyFill="1" applyBorder="1"/>
    <xf numFmtId="165" fontId="11" fillId="8" borderId="0" xfId="0" applyNumberFormat="1" applyFont="1" applyFill="1" applyAlignment="1">
      <alignment horizontal="center" vertical="center"/>
    </xf>
    <xf numFmtId="0" fontId="11" fillId="8" borderId="0" xfId="0" applyFont="1" applyFill="1" applyAlignment="1">
      <alignment horizontal="center" vertical="center"/>
    </xf>
    <xf numFmtId="165" fontId="8" fillId="8" borderId="0" xfId="4" applyNumberFormat="1" applyFont="1" applyFill="1" applyBorder="1" applyAlignment="1">
      <alignment horizontal="center" vertical="center"/>
    </xf>
    <xf numFmtId="165" fontId="27" fillId="8" borderId="0" xfId="0" applyNumberFormat="1" applyFont="1" applyFill="1" applyAlignment="1">
      <alignment horizontal="left" vertical="center"/>
    </xf>
    <xf numFmtId="0" fontId="5" fillId="8" borderId="0" xfId="0" applyFont="1" applyFill="1" applyAlignment="1">
      <alignment horizontal="center" vertical="center"/>
    </xf>
    <xf numFmtId="165" fontId="5" fillId="8" borderId="0" xfId="0" applyNumberFormat="1" applyFont="1" applyFill="1"/>
    <xf numFmtId="0" fontId="5" fillId="8" borderId="11" xfId="0" applyFont="1" applyFill="1" applyBorder="1"/>
    <xf numFmtId="0" fontId="27" fillId="8" borderId="0" xfId="0" applyFont="1" applyFill="1" applyAlignment="1">
      <alignment horizontal="left" vertical="center"/>
    </xf>
    <xf numFmtId="10" fontId="8" fillId="8" borderId="0" xfId="4" applyNumberFormat="1" applyFont="1" applyFill="1" applyBorder="1" applyAlignment="1">
      <alignment horizontal="center" vertical="center"/>
    </xf>
    <xf numFmtId="0" fontId="5" fillId="8" borderId="8" xfId="0" applyFont="1" applyFill="1" applyBorder="1"/>
    <xf numFmtId="8" fontId="5" fillId="8" borderId="11" xfId="0" applyNumberFormat="1" applyFont="1" applyFill="1" applyBorder="1"/>
    <xf numFmtId="166" fontId="5" fillId="5" borderId="0" xfId="0" applyNumberFormat="1" applyFont="1" applyFill="1"/>
    <xf numFmtId="10" fontId="8" fillId="6" borderId="30" xfId="2" applyNumberFormat="1" applyFont="1" applyFill="1" applyBorder="1" applyAlignment="1">
      <alignment horizontal="center" vertical="center"/>
    </xf>
    <xf numFmtId="10" fontId="8" fillId="6" borderId="31" xfId="2" applyNumberFormat="1" applyFont="1" applyFill="1" applyBorder="1" applyAlignment="1">
      <alignment horizontal="center" vertical="center"/>
    </xf>
    <xf numFmtId="0" fontId="5" fillId="8" borderId="32" xfId="0" applyFont="1" applyFill="1" applyBorder="1" applyAlignment="1">
      <alignment horizontal="right" vertical="center"/>
    </xf>
    <xf numFmtId="0" fontId="5" fillId="8" borderId="38" xfId="0" applyFont="1" applyFill="1" applyBorder="1" applyAlignment="1">
      <alignment horizontal="right" vertical="center"/>
    </xf>
    <xf numFmtId="0" fontId="5" fillId="8" borderId="35" xfId="0" applyFont="1" applyFill="1" applyBorder="1" applyAlignment="1">
      <alignment horizontal="right" vertical="center"/>
    </xf>
    <xf numFmtId="165" fontId="43" fillId="6" borderId="29" xfId="2" applyNumberFormat="1" applyFont="1" applyFill="1" applyBorder="1" applyAlignment="1">
      <alignment horizontal="center" vertical="center" wrapText="1"/>
    </xf>
    <xf numFmtId="165" fontId="43" fillId="6" borderId="16" xfId="2" applyNumberFormat="1" applyFont="1" applyFill="1" applyBorder="1" applyAlignment="1">
      <alignment horizontal="center" vertical="center" wrapText="1"/>
    </xf>
    <xf numFmtId="165" fontId="43" fillId="6" borderId="29" xfId="2" applyNumberFormat="1" applyFont="1" applyFill="1" applyBorder="1" applyAlignment="1">
      <alignment horizontal="center" vertical="center"/>
    </xf>
    <xf numFmtId="165" fontId="43" fillId="6" borderId="16" xfId="2" applyNumberFormat="1" applyFont="1" applyFill="1" applyBorder="1" applyAlignment="1">
      <alignment horizontal="center" vertical="center"/>
    </xf>
  </cellXfs>
  <cellStyles count="6">
    <cellStyle name="Check Cell" xfId="4" builtinId="23"/>
    <cellStyle name="Currency" xfId="1" builtinId="4"/>
    <cellStyle name="Hyperlink" xfId="5" builtinId="8"/>
    <cellStyle name="Neutral" xfId="3" builtinId="28"/>
    <cellStyle name="Normal" xfId="0" builtinId="0"/>
    <cellStyle name="Percent" xfId="2" builtinId="5"/>
  </cellStyles>
  <dxfs count="60">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rgb="FFCCCC00"/>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rgb="FFCCCC00"/>
        </patternFill>
      </fill>
    </dxf>
    <dxf>
      <font>
        <color rgb="FF9C0006"/>
      </font>
      <fill>
        <patternFill>
          <bgColor rgb="FFFFC7CE"/>
        </patternFill>
      </fill>
    </dxf>
    <dxf>
      <font>
        <color rgb="FF006100"/>
      </font>
      <fill>
        <patternFill>
          <bgColor rgb="FFC6EFCE"/>
        </patternFill>
      </fill>
    </dxf>
    <dxf>
      <fill>
        <patternFill>
          <bgColor rgb="FFCCCC00"/>
        </patternFill>
      </fill>
    </dxf>
    <dxf>
      <font>
        <color rgb="FF9C0006"/>
      </font>
      <fill>
        <patternFill>
          <bgColor rgb="FFFFC7CE"/>
        </patternFill>
      </fill>
    </dxf>
    <dxf>
      <font>
        <color rgb="FF006100"/>
      </font>
      <fill>
        <patternFill>
          <bgColor rgb="FFC6EFCE"/>
        </patternFill>
      </fill>
    </dxf>
    <dxf>
      <fill>
        <patternFill>
          <bgColor rgb="FFCCCC00"/>
        </patternFill>
      </fill>
    </dxf>
    <dxf>
      <font>
        <color rgb="FF9C0006"/>
      </font>
      <fill>
        <patternFill>
          <bgColor rgb="FFFFC7CE"/>
        </patternFill>
      </fill>
    </dxf>
    <dxf>
      <font>
        <color rgb="FF006100"/>
      </font>
      <fill>
        <patternFill>
          <bgColor rgb="FFC6EFCE"/>
        </patternFill>
      </fill>
    </dxf>
    <dxf>
      <fill>
        <patternFill>
          <bgColor rgb="FFCCCC00"/>
        </patternFill>
      </fill>
    </dxf>
    <dxf>
      <font>
        <color rgb="FF9C0006"/>
      </font>
      <fill>
        <patternFill>
          <bgColor rgb="FFFFC7CE"/>
        </patternFill>
      </fill>
    </dxf>
    <dxf>
      <font>
        <color theme="2" tint="-0.749961851863155"/>
      </font>
      <fill>
        <patternFill>
          <bgColor rgb="FFCCCC00"/>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rgb="FFCCCC00"/>
        </patternFill>
      </fill>
    </dxf>
    <dxf>
      <font>
        <color rgb="FF9C0006"/>
      </font>
      <fill>
        <patternFill>
          <bgColor rgb="FFFFC7CE"/>
        </patternFill>
      </fill>
    </dxf>
    <dxf>
      <font>
        <color theme="2" tint="-0.749961851863155"/>
      </font>
      <fill>
        <patternFill>
          <bgColor rgb="FFCCCC00"/>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rgb="FFCCCC00"/>
        </patternFill>
      </fill>
    </dxf>
    <dxf>
      <font>
        <color rgb="FF9C0006"/>
      </font>
      <fill>
        <patternFill>
          <bgColor rgb="FFFFC7CE"/>
        </patternFill>
      </fill>
    </dxf>
    <dxf>
      <font>
        <color theme="2" tint="-0.749961851863155"/>
      </font>
      <fill>
        <patternFill>
          <bgColor rgb="FFCCCC00"/>
        </patternFill>
      </fill>
    </dxf>
    <dxf>
      <font>
        <color rgb="FF006100"/>
      </font>
      <fill>
        <patternFill>
          <bgColor rgb="FFC6EFCE"/>
        </patternFill>
      </fill>
    </dxf>
    <dxf>
      <font>
        <color rgb="FF9C0006"/>
      </font>
      <fill>
        <patternFill>
          <bgColor rgb="FFFFC7CE"/>
        </patternFill>
      </fill>
    </dxf>
    <dxf>
      <font>
        <color theme="2" tint="-0.749961851863155"/>
      </font>
      <fill>
        <patternFill>
          <bgColor rgb="FFCCCC00"/>
        </patternFill>
      </fill>
    </dxf>
    <dxf>
      <font>
        <color rgb="FF006100"/>
      </font>
      <fill>
        <patternFill>
          <bgColor rgb="FFC6EFCE"/>
        </patternFill>
      </fill>
    </dxf>
    <dxf>
      <font>
        <color rgb="FF9C0006"/>
      </font>
      <fill>
        <patternFill>
          <bgColor rgb="FFFFC7CE"/>
        </patternFill>
      </fill>
    </dxf>
    <dxf>
      <font>
        <color theme="2" tint="-0.749961851863155"/>
      </font>
      <fill>
        <patternFill>
          <bgColor rgb="FFCCCC00"/>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rgb="FFCCCC00"/>
        </patternFill>
      </fill>
    </dxf>
    <dxf>
      <font>
        <color rgb="FF9C0006"/>
      </font>
      <fill>
        <patternFill>
          <bgColor rgb="FFFFC7CE"/>
        </patternFill>
      </fill>
    </dxf>
    <dxf>
      <font>
        <color theme="2" tint="-0.749961851863155"/>
      </font>
      <fill>
        <patternFill>
          <bgColor rgb="FFCCCC00"/>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rgb="FFCCCC00"/>
        </patternFill>
      </fill>
    </dxf>
    <dxf>
      <font>
        <color rgb="FF9C0006"/>
      </font>
      <fill>
        <patternFill>
          <bgColor rgb="FFFFC7CE"/>
        </patternFill>
      </fill>
    </dxf>
    <dxf>
      <font>
        <color theme="2" tint="-0.749961851863155"/>
      </font>
      <fill>
        <patternFill>
          <bgColor rgb="FFCCCC00"/>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rgb="FFCCCC00"/>
        </patternFill>
      </fill>
    </dxf>
    <dxf>
      <font>
        <color rgb="FF9C0006"/>
      </font>
      <fill>
        <patternFill>
          <bgColor rgb="FFFFC7CE"/>
        </patternFill>
      </fill>
    </dxf>
    <dxf>
      <font>
        <color theme="2" tint="-0.749961851863155"/>
      </font>
      <fill>
        <patternFill>
          <bgColor rgb="FFCCCC00"/>
        </patternFill>
      </fill>
    </dxf>
    <dxf>
      <font>
        <color rgb="FF006100"/>
      </font>
      <fill>
        <patternFill>
          <bgColor rgb="FFC6EFCE"/>
        </patternFill>
      </fill>
    </dxf>
  </dxfs>
  <tableStyles count="0" defaultTableStyle="TableStyleMedium2" defaultPivotStyle="PivotStyleLight16"/>
  <colors>
    <mruColors>
      <color rgb="FFE0B828"/>
      <color rgb="FF8295A6"/>
      <color rgb="FFD0CECE"/>
      <color rgb="FFFFC7CE"/>
      <color rgb="FFFFEB9C"/>
      <color rgb="FFBAC4CE"/>
      <color rgb="FF2A3E62"/>
      <color rgb="FFF6EBC2"/>
      <color rgb="FF8D9EAE"/>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DCBEEA-8818-4D6A-A6EA-95697F5CCBF0}">
  <dimension ref="B3:H24"/>
  <sheetViews>
    <sheetView tabSelected="1" topLeftCell="A6" workbookViewId="0">
      <selection activeCell="D24" sqref="D24"/>
    </sheetView>
  </sheetViews>
  <sheetFormatPr defaultRowHeight="14.4"/>
  <sheetData>
    <row r="3" spans="2:8" ht="25.8">
      <c r="B3" s="69" t="s">
        <v>150</v>
      </c>
    </row>
    <row r="6" spans="2:8">
      <c r="B6" s="67" t="s">
        <v>63</v>
      </c>
      <c r="C6" t="s">
        <v>142</v>
      </c>
    </row>
    <row r="7" spans="2:8">
      <c r="B7" s="67"/>
      <c r="D7" t="s">
        <v>151</v>
      </c>
    </row>
    <row r="8" spans="2:8">
      <c r="D8" t="s">
        <v>152</v>
      </c>
    </row>
    <row r="11" spans="2:8" ht="15.6">
      <c r="C11" s="1"/>
      <c r="D11" s="145" t="s">
        <v>143</v>
      </c>
      <c r="E11" s="71"/>
      <c r="F11" s="1" t="s">
        <v>144</v>
      </c>
      <c r="G11" s="1"/>
      <c r="H11" s="1"/>
    </row>
    <row r="12" spans="2:8">
      <c r="B12" s="67"/>
      <c r="D12" t="s">
        <v>145</v>
      </c>
      <c r="E12" s="145"/>
      <c r="F12" s="145"/>
      <c r="G12" s="145"/>
      <c r="H12" s="1"/>
    </row>
    <row r="13" spans="2:8">
      <c r="D13" t="s">
        <v>146</v>
      </c>
      <c r="E13" s="145"/>
      <c r="F13" s="145"/>
      <c r="G13" s="145"/>
      <c r="H13" s="1"/>
    </row>
    <row r="14" spans="2:8">
      <c r="D14" t="s">
        <v>147</v>
      </c>
      <c r="E14" s="145"/>
      <c r="F14" s="145"/>
      <c r="G14" s="145"/>
      <c r="H14" s="1"/>
    </row>
    <row r="15" spans="2:8">
      <c r="D15" t="s">
        <v>153</v>
      </c>
    </row>
    <row r="17" spans="2:8" ht="15.6">
      <c r="C17" s="1"/>
      <c r="D17" s="145" t="s">
        <v>143</v>
      </c>
      <c r="E17" s="146"/>
      <c r="F17" s="1" t="s">
        <v>148</v>
      </c>
      <c r="G17" s="1"/>
      <c r="H17" s="1"/>
    </row>
    <row r="18" spans="2:8">
      <c r="D18" t="s">
        <v>149</v>
      </c>
    </row>
    <row r="20" spans="2:8">
      <c r="D20" t="s">
        <v>192</v>
      </c>
    </row>
    <row r="23" spans="2:8">
      <c r="B23" s="67" t="s">
        <v>63</v>
      </c>
      <c r="C23" t="s">
        <v>156</v>
      </c>
    </row>
    <row r="24" spans="2:8">
      <c r="D24" t="s">
        <v>157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8E41B4-3110-4E4F-835F-1CB80E6F6DD5}">
  <sheetPr codeName="Sheet16"/>
  <dimension ref="A1:O848"/>
  <sheetViews>
    <sheetView zoomScale="70" zoomScaleNormal="70" workbookViewId="0">
      <selection activeCell="D7" sqref="D7"/>
    </sheetView>
  </sheetViews>
  <sheetFormatPr defaultColWidth="8.88671875" defaultRowHeight="14.4"/>
  <cols>
    <col min="1" max="1" width="3.5546875" style="3" customWidth="1"/>
    <col min="2" max="2" width="6.6640625" style="3" customWidth="1"/>
    <col min="3" max="3" width="32" style="3" customWidth="1"/>
    <col min="4" max="4" width="24.33203125" style="3" customWidth="1"/>
    <col min="5" max="5" width="16" style="3" customWidth="1"/>
    <col min="6" max="6" width="10" style="3" customWidth="1"/>
    <col min="7" max="7" width="28.77734375" style="3" customWidth="1"/>
    <col min="8" max="8" width="12" style="3" customWidth="1"/>
    <col min="9" max="9" width="11" customWidth="1"/>
    <col min="10" max="10" width="21" bestFit="1" customWidth="1"/>
    <col min="11" max="11" width="11" customWidth="1"/>
    <col min="12" max="12" width="11.33203125" bestFit="1" customWidth="1"/>
    <col min="14" max="14" width="11.33203125" bestFit="1" customWidth="1"/>
    <col min="15" max="15" width="11.5546875" bestFit="1" customWidth="1"/>
    <col min="16" max="16" width="10.5546875" style="3" bestFit="1" customWidth="1"/>
    <col min="17" max="17" width="11.33203125" style="3" bestFit="1" customWidth="1"/>
    <col min="18" max="16384" width="8.88671875" style="3"/>
  </cols>
  <sheetData>
    <row r="1" spans="1:15" ht="27.75" customHeight="1" thickBot="1">
      <c r="A1" s="2"/>
      <c r="B1" s="2"/>
      <c r="C1" s="2"/>
      <c r="D1" s="2"/>
      <c r="E1" s="2"/>
      <c r="F1" s="2"/>
      <c r="G1" s="2"/>
      <c r="H1" s="2"/>
      <c r="I1" s="3"/>
      <c r="J1" s="3"/>
      <c r="K1" s="3"/>
      <c r="L1" s="3"/>
      <c r="M1" s="3"/>
      <c r="N1" s="3"/>
      <c r="O1" s="3"/>
    </row>
    <row r="2" spans="1:15">
      <c r="A2" s="2"/>
      <c r="B2" s="4"/>
      <c r="C2" s="5"/>
      <c r="D2" s="5"/>
      <c r="E2" s="5"/>
      <c r="F2" s="5"/>
      <c r="G2" s="5"/>
      <c r="H2" s="129"/>
      <c r="I2" s="3"/>
      <c r="J2" s="3"/>
      <c r="K2" s="3"/>
      <c r="L2" s="3"/>
      <c r="M2" s="3"/>
      <c r="N2" s="3"/>
      <c r="O2" s="3"/>
    </row>
    <row r="3" spans="1:15" ht="21">
      <c r="A3" s="2"/>
      <c r="B3" s="6"/>
      <c r="C3" s="42" t="s">
        <v>115</v>
      </c>
      <c r="D3" s="36"/>
      <c r="E3" s="36"/>
      <c r="F3" s="36"/>
      <c r="G3" s="37"/>
      <c r="H3" s="12"/>
      <c r="I3" s="3"/>
      <c r="J3" s="106" t="s">
        <v>119</v>
      </c>
      <c r="L3" s="3"/>
      <c r="M3" s="3"/>
      <c r="N3" s="3"/>
      <c r="O3" s="3"/>
    </row>
    <row r="4" spans="1:15" ht="21">
      <c r="A4" s="2"/>
      <c r="B4" s="6"/>
      <c r="C4" s="7"/>
      <c r="D4" s="7"/>
      <c r="E4" s="7"/>
      <c r="F4" s="7"/>
      <c r="G4" s="7"/>
      <c r="H4" s="12"/>
      <c r="I4" s="3"/>
      <c r="J4" s="108" t="s">
        <v>118</v>
      </c>
      <c r="K4" s="108" t="s">
        <v>163</v>
      </c>
      <c r="L4" s="3"/>
      <c r="M4" s="3"/>
      <c r="N4" s="3"/>
      <c r="O4" s="3"/>
    </row>
    <row r="5" spans="1:15" ht="21">
      <c r="A5" s="2"/>
      <c r="B5" s="6"/>
      <c r="C5" s="38" t="s">
        <v>29</v>
      </c>
      <c r="D5" s="39"/>
      <c r="E5" s="39"/>
      <c r="F5" s="7"/>
      <c r="G5" s="38" t="s">
        <v>132</v>
      </c>
      <c r="H5" s="12"/>
      <c r="I5" s="3"/>
      <c r="J5" s="108"/>
      <c r="K5" s="108" t="s">
        <v>164</v>
      </c>
      <c r="L5" s="3"/>
      <c r="M5" s="3"/>
      <c r="N5" s="3"/>
      <c r="O5" s="3"/>
    </row>
    <row r="6" spans="1:15" ht="21.6" thickBot="1">
      <c r="A6" s="2"/>
      <c r="B6" s="6"/>
      <c r="C6" s="7"/>
      <c r="D6" s="7"/>
      <c r="E6" s="7"/>
      <c r="F6" s="7"/>
      <c r="G6" s="7"/>
      <c r="H6" s="12"/>
      <c r="I6" s="3"/>
      <c r="J6" s="108"/>
      <c r="K6" s="108" t="s">
        <v>98</v>
      </c>
      <c r="L6" s="3"/>
      <c r="M6" s="3"/>
      <c r="N6" s="3"/>
      <c r="O6" s="3"/>
    </row>
    <row r="7" spans="1:15" ht="22.2" thickTop="1" thickBot="1">
      <c r="A7" s="2"/>
      <c r="B7" s="6"/>
      <c r="C7" s="8" t="s">
        <v>89</v>
      </c>
      <c r="D7" s="104" t="s">
        <v>92</v>
      </c>
      <c r="E7" s="82" t="s">
        <v>69</v>
      </c>
      <c r="F7" s="7"/>
      <c r="G7" s="7"/>
      <c r="H7" s="12"/>
      <c r="I7" s="3"/>
      <c r="J7" s="108"/>
      <c r="K7" s="108" t="s">
        <v>100</v>
      </c>
      <c r="L7" s="3"/>
      <c r="M7" s="3"/>
      <c r="N7" s="3"/>
      <c r="O7" s="3"/>
    </row>
    <row r="8" spans="1:15" ht="24.6" customHeight="1" thickTop="1" thickBot="1">
      <c r="A8" s="2"/>
      <c r="B8" s="6"/>
      <c r="C8" s="8" t="s">
        <v>3</v>
      </c>
      <c r="D8" s="104" t="s">
        <v>24</v>
      </c>
      <c r="E8" s="82" t="s">
        <v>69</v>
      </c>
      <c r="F8" s="7"/>
      <c r="G8" s="119" t="s">
        <v>103</v>
      </c>
      <c r="H8" s="12"/>
      <c r="I8" s="3"/>
      <c r="J8" s="55"/>
      <c r="K8" s="3"/>
      <c r="L8" s="3"/>
      <c r="M8" s="3"/>
      <c r="N8" s="3"/>
      <c r="O8" s="3"/>
    </row>
    <row r="9" spans="1:15" ht="24.6" customHeight="1" thickTop="1" thickBot="1">
      <c r="A9" s="2"/>
      <c r="B9" s="6"/>
      <c r="C9" s="8" t="s">
        <v>52</v>
      </c>
      <c r="D9" s="104" t="s">
        <v>96</v>
      </c>
      <c r="E9" s="82" t="s">
        <v>69</v>
      </c>
      <c r="F9" s="7"/>
      <c r="G9" s="236">
        <f>(Rental_Sale_Price-Total_Project_Costs)/Total_Project_Costs</f>
        <v>0.25</v>
      </c>
      <c r="H9" s="12"/>
      <c r="I9" s="3"/>
      <c r="J9" s="55"/>
      <c r="K9" s="3"/>
      <c r="L9" s="3"/>
      <c r="M9" s="3"/>
      <c r="N9" s="3"/>
      <c r="O9" s="3"/>
    </row>
    <row r="10" spans="1:15" ht="21.6" thickTop="1">
      <c r="A10" s="2"/>
      <c r="B10" s="6"/>
      <c r="C10" s="7"/>
      <c r="D10" s="105"/>
      <c r="E10" s="7"/>
      <c r="F10" s="7"/>
      <c r="G10" s="237"/>
      <c r="H10" s="12"/>
      <c r="I10" s="3"/>
      <c r="J10" s="55"/>
      <c r="K10" s="3"/>
      <c r="L10" s="3"/>
      <c r="M10" s="3"/>
      <c r="N10" s="3"/>
      <c r="O10" s="3"/>
    </row>
    <row r="11" spans="1:15" ht="21.6" thickBot="1">
      <c r="A11" s="2"/>
      <c r="B11" s="6"/>
      <c r="C11" s="10" t="s">
        <v>53</v>
      </c>
      <c r="D11" s="116">
        <v>100</v>
      </c>
      <c r="E11" s="82" t="s">
        <v>70</v>
      </c>
      <c r="F11" s="7"/>
      <c r="G11" s="120" t="str">
        <f>IF(G9="TBD","",IF(G9&gt;=ModelInputs!C13,"Likely Feasible",IF(AND(G9&lt;ModelInputs!C13,G9&gt;=ModelInputs!C14),"Possibly Feasible","Unlikely Feasibility")))</f>
        <v>Likely Feasible</v>
      </c>
      <c r="H11" s="12"/>
      <c r="I11" s="3"/>
      <c r="J11" s="3"/>
      <c r="K11" s="3"/>
      <c r="L11" s="3"/>
      <c r="M11" s="3"/>
      <c r="N11" s="3"/>
      <c r="O11" s="3"/>
    </row>
    <row r="12" spans="1:15">
      <c r="A12" s="2"/>
      <c r="B12" s="6"/>
      <c r="C12" s="7"/>
      <c r="D12" s="7"/>
      <c r="E12" s="7"/>
      <c r="F12" s="7"/>
      <c r="G12" s="7"/>
      <c r="H12" s="12"/>
      <c r="I12" s="3"/>
      <c r="J12" s="3"/>
      <c r="K12" s="3"/>
      <c r="L12" s="3"/>
      <c r="M12" s="3"/>
      <c r="N12" s="3"/>
      <c r="O12" s="3"/>
    </row>
    <row r="13" spans="1:15" ht="16.5" customHeight="1">
      <c r="A13" s="2"/>
      <c r="B13" s="6"/>
      <c r="C13" s="7"/>
      <c r="D13" s="7"/>
      <c r="E13" s="82"/>
      <c r="F13" s="7"/>
      <c r="G13" s="7"/>
      <c r="H13" s="12"/>
      <c r="I13" s="3"/>
      <c r="J13" s="3"/>
      <c r="K13" s="3"/>
      <c r="L13" s="3"/>
      <c r="M13" s="3"/>
      <c r="N13" s="3"/>
      <c r="O13" s="3"/>
    </row>
    <row r="14" spans="1:15" ht="15.6">
      <c r="A14" s="2"/>
      <c r="B14" s="6"/>
      <c r="C14" s="7"/>
      <c r="D14" s="27"/>
      <c r="E14" s="7"/>
      <c r="F14" s="7"/>
      <c r="G14" s="7"/>
      <c r="H14" s="12"/>
      <c r="I14" s="3"/>
      <c r="J14" s="3"/>
      <c r="K14" s="3"/>
      <c r="L14" s="3"/>
      <c r="M14" s="3"/>
      <c r="N14" s="3"/>
      <c r="O14" s="3"/>
    </row>
    <row r="15" spans="1:15" ht="15.6">
      <c r="A15" s="2"/>
      <c r="B15" s="6"/>
      <c r="C15" s="131"/>
      <c r="D15" s="27"/>
      <c r="E15" s="82"/>
      <c r="F15" s="7"/>
      <c r="G15" s="7"/>
      <c r="H15" s="12"/>
      <c r="I15" s="3"/>
      <c r="J15" s="3"/>
      <c r="K15" s="3"/>
      <c r="L15" s="3"/>
      <c r="M15" s="3"/>
      <c r="N15" s="3"/>
      <c r="O15" s="3"/>
    </row>
    <row r="16" spans="1:15" s="128" customFormat="1" ht="21">
      <c r="A16" s="126"/>
      <c r="B16" s="127"/>
      <c r="C16" s="132" t="s">
        <v>54</v>
      </c>
      <c r="D16" s="148"/>
      <c r="E16" s="148"/>
      <c r="F16" s="148"/>
      <c r="G16" s="148"/>
      <c r="H16" s="138"/>
    </row>
    <row r="17" spans="1:15">
      <c r="A17" s="2"/>
      <c r="B17" s="6"/>
      <c r="C17" s="7"/>
      <c r="D17" s="7"/>
      <c r="E17" s="7"/>
      <c r="F17" s="7"/>
      <c r="G17" s="7"/>
      <c r="H17" s="12"/>
      <c r="I17" s="3"/>
      <c r="J17" s="3"/>
      <c r="K17" s="3"/>
      <c r="L17" s="3"/>
      <c r="M17" s="3"/>
      <c r="N17" s="3"/>
      <c r="O17" s="3"/>
    </row>
    <row r="18" spans="1:15" ht="16.95" customHeight="1">
      <c r="A18" s="2"/>
      <c r="B18" s="6"/>
      <c r="C18" s="7"/>
      <c r="D18" s="9"/>
      <c r="E18" s="9"/>
      <c r="F18" s="9"/>
      <c r="G18" s="9"/>
      <c r="H18" s="139"/>
      <c r="I18" s="3"/>
      <c r="J18" s="3"/>
      <c r="K18" s="3"/>
      <c r="L18" s="3"/>
      <c r="M18" s="3"/>
      <c r="N18" s="3"/>
      <c r="O18" s="3"/>
    </row>
    <row r="19" spans="1:15" s="124" customFormat="1" ht="18">
      <c r="A19" s="122"/>
      <c r="B19" s="123"/>
      <c r="C19" s="134" t="s">
        <v>68</v>
      </c>
      <c r="D19" s="125">
        <f>Total_Units*IF(Total_Units&gt;50,_xlfn.XLOOKUP(Building_Type,ModelInputs!B29:B32,ModelInputs!D29:D32),_xlfn.XLOOKUP(Building_Type,ModelInputs!B29:B32,ModelInputs!C29:C32))</f>
        <v>2000000</v>
      </c>
      <c r="E19" s="135"/>
      <c r="F19" s="135"/>
      <c r="G19" s="135"/>
      <c r="H19" s="140"/>
    </row>
    <row r="20" spans="1:15" s="124" customFormat="1" ht="18">
      <c r="A20" s="122"/>
      <c r="B20" s="123"/>
      <c r="C20" s="134" t="s">
        <v>67</v>
      </c>
      <c r="D20" s="125" cm="1">
        <f t="array" ref="D20">Total_Units*_xlfn.XLOOKUP(Building_Type,ModelInputs!B37:B40,_xlfn.XLOOKUP(Price_Land_Context,ModelInputs!C36:D36,ModelInputs!C37:D40))</f>
        <v>30000000</v>
      </c>
      <c r="E20" s="135"/>
      <c r="F20" s="135"/>
      <c r="G20" s="135"/>
      <c r="H20" s="140"/>
    </row>
    <row r="21" spans="1:15" s="124" customFormat="1" ht="18">
      <c r="A21" s="122"/>
      <c r="B21" s="123"/>
      <c r="C21" s="134" t="s">
        <v>6</v>
      </c>
      <c r="D21" s="125" cm="1">
        <f t="array" ref="D21">Total_Units*_xlfn.XLOOKUP(Building_Type,ModelInputs!C19:F19,_xlfn.XLOOKUP(D7,ModelInputs!B20:B24,ModelInputs!C20:F24))</f>
        <v>4000000</v>
      </c>
      <c r="E21" s="135"/>
      <c r="F21" s="135"/>
      <c r="G21" s="135"/>
      <c r="H21" s="140"/>
    </row>
    <row r="22" spans="1:15" s="124" customFormat="1" ht="18">
      <c r="A22" s="122"/>
      <c r="B22" s="123"/>
      <c r="C22" s="134" t="s">
        <v>7</v>
      </c>
      <c r="D22" s="125">
        <f>(SUM(D19:D21))</f>
        <v>36000000</v>
      </c>
      <c r="E22" s="135"/>
      <c r="F22" s="135"/>
      <c r="G22" s="135"/>
      <c r="H22" s="140"/>
    </row>
    <row r="23" spans="1:15" s="124" customFormat="1" ht="18">
      <c r="A23" s="122"/>
      <c r="B23" s="123"/>
      <c r="C23" s="113"/>
      <c r="D23" s="113"/>
      <c r="E23" s="113"/>
      <c r="F23" s="113"/>
      <c r="G23" s="113"/>
      <c r="H23" s="133"/>
    </row>
    <row r="24" spans="1:15" s="124" customFormat="1" ht="18">
      <c r="A24" s="122"/>
      <c r="B24" s="123"/>
      <c r="C24" s="134" t="s">
        <v>74</v>
      </c>
      <c r="D24" s="125">
        <f>D22/Total_Units</f>
        <v>360000</v>
      </c>
      <c r="E24" s="136"/>
      <c r="F24" s="136"/>
      <c r="G24" s="136"/>
      <c r="H24" s="141"/>
    </row>
    <row r="25" spans="1:15" s="124" customFormat="1" ht="18">
      <c r="A25" s="122"/>
      <c r="B25" s="123"/>
      <c r="C25" s="113"/>
      <c r="D25" s="113"/>
      <c r="E25" s="113"/>
      <c r="F25" s="113"/>
      <c r="G25" s="113"/>
      <c r="H25" s="133"/>
    </row>
    <row r="26" spans="1:15" s="124" customFormat="1" ht="18">
      <c r="A26" s="122"/>
      <c r="B26" s="123"/>
      <c r="C26" s="134" t="s">
        <v>18</v>
      </c>
      <c r="D26" s="125" cm="1">
        <f t="array" ref="D26">(D11*IF(Price_Land_Context="Lower Priced",_xlfn.XLOOKUP(D7,ModelInputs!B57:B61,_xlfn.XLOOKUP(Building_Type,ModelInputs!C56:F56,ModelInputs!C57:F61)),IF(Price_Land_Context="Higher Priced",_xlfn.XLOOKUP(D7,ModelInputs!B64:B68,_xlfn.XLOOKUP(Building_Type,ModelInputs!C63:F63,ModelInputs!C64:F68)),"")))</f>
        <v>45000000</v>
      </c>
      <c r="E26" s="135"/>
      <c r="F26" s="135"/>
      <c r="G26" s="135"/>
      <c r="H26" s="140"/>
    </row>
    <row r="27" spans="1:15">
      <c r="A27" s="2"/>
      <c r="B27" s="6"/>
      <c r="C27" s="10"/>
      <c r="D27" s="10"/>
      <c r="E27" s="10"/>
      <c r="F27" s="10"/>
      <c r="G27" s="10"/>
      <c r="H27" s="142"/>
      <c r="I27" s="3"/>
      <c r="J27" s="3"/>
      <c r="K27" s="3"/>
      <c r="L27" s="3"/>
      <c r="M27" s="3"/>
      <c r="N27" s="3"/>
      <c r="O27" s="3"/>
    </row>
    <row r="28" spans="1:15" ht="15.6">
      <c r="A28" s="2"/>
      <c r="B28" s="6"/>
      <c r="C28" s="84"/>
      <c r="D28" s="27"/>
      <c r="E28" s="82"/>
      <c r="F28" s="82"/>
      <c r="G28" s="82"/>
      <c r="H28" s="137"/>
      <c r="I28" s="3"/>
      <c r="J28" s="3"/>
      <c r="K28" s="3"/>
      <c r="L28" s="3"/>
      <c r="M28" s="3"/>
      <c r="N28" s="3"/>
      <c r="O28" s="3"/>
    </row>
    <row r="29" spans="1:15" ht="16.2" thickBot="1">
      <c r="A29" s="2"/>
      <c r="B29" s="147"/>
      <c r="C29" s="149"/>
      <c r="D29" s="150"/>
      <c r="E29" s="151"/>
      <c r="F29" s="151"/>
      <c r="G29" s="151"/>
      <c r="H29" s="152"/>
      <c r="I29" s="3"/>
      <c r="J29" s="3"/>
      <c r="K29" s="3"/>
      <c r="L29" s="3"/>
      <c r="M29" s="3"/>
      <c r="N29" s="3"/>
      <c r="O29" s="3"/>
    </row>
    <row r="30" spans="1:15" s="128" customFormat="1" ht="21">
      <c r="A30" s="126"/>
      <c r="B30"/>
      <c r="C30"/>
      <c r="D30"/>
      <c r="E30"/>
      <c r="F30"/>
      <c r="G30"/>
      <c r="H30"/>
    </row>
    <row r="31" spans="1:15">
      <c r="A31" s="2"/>
      <c r="B31"/>
      <c r="C31"/>
      <c r="D31"/>
      <c r="E31"/>
      <c r="F31"/>
      <c r="G31"/>
      <c r="H31"/>
      <c r="I31" s="3"/>
      <c r="J31" s="3"/>
      <c r="K31" s="3"/>
      <c r="L31" s="3"/>
      <c r="M31" s="3"/>
      <c r="N31" s="3"/>
      <c r="O31" s="3"/>
    </row>
    <row r="32" spans="1:15">
      <c r="A32" s="2"/>
      <c r="B32"/>
      <c r="C32"/>
      <c r="D32"/>
      <c r="E32"/>
      <c r="F32"/>
      <c r="G32"/>
      <c r="H32"/>
      <c r="I32" s="3"/>
      <c r="J32" s="3"/>
      <c r="K32" s="3"/>
      <c r="L32" s="3"/>
      <c r="M32" s="3"/>
      <c r="N32" s="3"/>
      <c r="O32" s="3"/>
    </row>
    <row r="33" spans="1:15" s="124" customFormat="1" ht="18">
      <c r="A33" s="122"/>
      <c r="B33" t="s">
        <v>157</v>
      </c>
      <c r="C33"/>
      <c r="D33"/>
      <c r="E33"/>
      <c r="F33"/>
      <c r="G33"/>
      <c r="H33"/>
    </row>
    <row r="34" spans="1:15" s="124" customFormat="1" ht="18">
      <c r="A34" s="122"/>
      <c r="B34"/>
      <c r="C34"/>
      <c r="D34"/>
      <c r="E34"/>
      <c r="F34"/>
      <c r="G34"/>
      <c r="H34"/>
    </row>
    <row r="35" spans="1:15" s="124" customFormat="1" ht="18">
      <c r="A35" s="122"/>
      <c r="B35"/>
      <c r="C35"/>
      <c r="D35"/>
      <c r="E35"/>
      <c r="F35"/>
      <c r="G35"/>
      <c r="H35"/>
    </row>
    <row r="36" spans="1:15" s="124" customFormat="1" ht="18">
      <c r="A36" s="122"/>
      <c r="B36"/>
      <c r="C36"/>
      <c r="D36"/>
      <c r="E36"/>
      <c r="F36"/>
      <c r="G36"/>
      <c r="H36"/>
    </row>
    <row r="37" spans="1:15" s="124" customFormat="1" ht="18">
      <c r="A37" s="122"/>
      <c r="B37"/>
      <c r="C37"/>
      <c r="D37"/>
      <c r="E37"/>
      <c r="F37"/>
      <c r="G37"/>
      <c r="H37"/>
    </row>
    <row r="38" spans="1:15" s="124" customFormat="1" ht="18">
      <c r="A38" s="122"/>
      <c r="B38"/>
      <c r="C38"/>
      <c r="D38"/>
      <c r="E38"/>
      <c r="F38"/>
      <c r="G38"/>
      <c r="H38"/>
    </row>
    <row r="39" spans="1:15" s="124" customFormat="1" ht="18">
      <c r="A39" s="122"/>
      <c r="B39"/>
      <c r="C39"/>
      <c r="D39"/>
      <c r="E39"/>
      <c r="F39"/>
      <c r="G39"/>
      <c r="H39"/>
    </row>
    <row r="40" spans="1:15" s="124" customFormat="1" ht="18">
      <c r="A40" s="122"/>
      <c r="B40"/>
      <c r="C40"/>
      <c r="D40"/>
      <c r="E40"/>
      <c r="F40"/>
      <c r="G40"/>
      <c r="H40"/>
    </row>
    <row r="41" spans="1:15" s="124" customFormat="1" ht="18">
      <c r="A41" s="122"/>
      <c r="B41"/>
      <c r="C41"/>
      <c r="D41"/>
      <c r="E41"/>
      <c r="F41"/>
      <c r="G41"/>
      <c r="H41"/>
    </row>
    <row r="42" spans="1:15" s="124" customFormat="1" ht="18">
      <c r="A42" s="122"/>
      <c r="B42"/>
      <c r="C42"/>
      <c r="D42"/>
      <c r="E42"/>
      <c r="F42"/>
      <c r="G42"/>
      <c r="H42"/>
    </row>
    <row r="43" spans="1:15" s="124" customFormat="1" ht="18">
      <c r="A43" s="122"/>
      <c r="B43"/>
      <c r="C43"/>
      <c r="D43"/>
      <c r="E43"/>
      <c r="F43"/>
      <c r="G43"/>
      <c r="H43"/>
    </row>
    <row r="44" spans="1:15" s="124" customFormat="1" ht="18">
      <c r="A44" s="122"/>
      <c r="B44"/>
      <c r="C44"/>
      <c r="D44"/>
      <c r="E44"/>
      <c r="F44"/>
      <c r="G44"/>
      <c r="H44"/>
    </row>
    <row r="45" spans="1:15" s="124" customFormat="1" ht="18">
      <c r="A45" s="122"/>
      <c r="B45"/>
      <c r="C45"/>
      <c r="D45"/>
      <c r="E45"/>
      <c r="F45"/>
      <c r="G45"/>
      <c r="H45"/>
    </row>
    <row r="46" spans="1:15">
      <c r="A46"/>
      <c r="B46"/>
      <c r="C46"/>
      <c r="D46"/>
      <c r="E46"/>
      <c r="F46"/>
      <c r="G46"/>
      <c r="H46"/>
      <c r="J46" s="3"/>
      <c r="K46" s="3"/>
      <c r="L46" s="3"/>
      <c r="M46" s="3"/>
      <c r="N46" s="3"/>
      <c r="O46" s="3"/>
    </row>
    <row r="47" spans="1:15">
      <c r="A47"/>
      <c r="B47"/>
      <c r="C47"/>
      <c r="D47"/>
      <c r="E47"/>
      <c r="F47"/>
      <c r="G47"/>
      <c r="H47"/>
      <c r="J47" s="3"/>
      <c r="K47" s="3"/>
      <c r="L47" s="3"/>
      <c r="M47" s="3"/>
      <c r="N47" s="3"/>
      <c r="O47" s="3"/>
    </row>
    <row r="48" spans="1:15">
      <c r="A48"/>
      <c r="B48"/>
      <c r="C48"/>
      <c r="D48"/>
      <c r="E48"/>
      <c r="F48"/>
      <c r="G48"/>
      <c r="H48"/>
      <c r="J48" s="3"/>
      <c r="K48" s="3"/>
      <c r="L48" s="3"/>
      <c r="M48" s="3"/>
      <c r="N48" s="3"/>
      <c r="O48" s="3"/>
    </row>
    <row r="49" customFormat="1"/>
    <row r="50" customFormat="1"/>
    <row r="51" customFormat="1"/>
    <row r="52" customFormat="1"/>
    <row r="53" customFormat="1"/>
    <row r="54" customFormat="1"/>
    <row r="55" customFormat="1"/>
    <row r="56" customFormat="1"/>
    <row r="57" customFormat="1"/>
    <row r="58" customFormat="1"/>
    <row r="59" customFormat="1"/>
    <row r="60" customFormat="1"/>
    <row r="61" customFormat="1"/>
    <row r="62" customFormat="1"/>
    <row r="63" customFormat="1"/>
    <row r="64" customFormat="1"/>
    <row r="65" customFormat="1"/>
    <row r="66" customFormat="1"/>
    <row r="67" customFormat="1"/>
    <row r="68" customFormat="1"/>
    <row r="69" customFormat="1"/>
    <row r="70" customFormat="1"/>
    <row r="71" customFormat="1"/>
    <row r="72" customFormat="1"/>
    <row r="73" customFormat="1"/>
    <row r="74" customFormat="1"/>
    <row r="75" customFormat="1"/>
    <row r="76" customFormat="1"/>
    <row r="77" customFormat="1"/>
    <row r="78" customFormat="1"/>
    <row r="79" customFormat="1"/>
    <row r="80" customFormat="1"/>
    <row r="81" customFormat="1"/>
    <row r="82" customFormat="1"/>
    <row r="83" customFormat="1"/>
    <row r="84" customFormat="1"/>
    <row r="85" customFormat="1"/>
    <row r="86" customFormat="1"/>
    <row r="87" customFormat="1"/>
    <row r="88" customFormat="1"/>
    <row r="89" customFormat="1"/>
    <row r="90" customFormat="1"/>
    <row r="91" customFormat="1"/>
    <row r="92" customFormat="1"/>
    <row r="93" customFormat="1"/>
    <row r="94" customFormat="1"/>
    <row r="95" customFormat="1"/>
    <row r="96" customFormat="1"/>
    <row r="97" customFormat="1"/>
    <row r="98" customFormat="1"/>
    <row r="99" customFormat="1"/>
    <row r="100" customFormat="1"/>
    <row r="101" customFormat="1"/>
    <row r="102" customFormat="1"/>
    <row r="103" customFormat="1"/>
    <row r="104" customFormat="1"/>
    <row r="105" customFormat="1"/>
    <row r="106" customFormat="1"/>
    <row r="107" customFormat="1"/>
    <row r="108" customFormat="1"/>
    <row r="109" customFormat="1"/>
    <row r="110" customFormat="1"/>
    <row r="111" customFormat="1"/>
    <row r="112" customFormat="1"/>
    <row r="113" customFormat="1"/>
    <row r="114" customFormat="1"/>
    <row r="115" customFormat="1"/>
    <row r="116" customFormat="1"/>
    <row r="117" customFormat="1"/>
    <row r="118" customFormat="1"/>
    <row r="119" customFormat="1"/>
    <row r="120" customFormat="1"/>
    <row r="121" customFormat="1"/>
    <row r="122" customFormat="1"/>
    <row r="123" customFormat="1"/>
    <row r="124" customFormat="1"/>
    <row r="125" customFormat="1"/>
    <row r="126" customFormat="1"/>
    <row r="127" customFormat="1"/>
    <row r="128" customFormat="1"/>
    <row r="129" customFormat="1"/>
    <row r="130" customFormat="1"/>
    <row r="131" customFormat="1"/>
    <row r="132" customFormat="1"/>
    <row r="133" customFormat="1"/>
    <row r="134" customFormat="1"/>
    <row r="135" customFormat="1"/>
    <row r="136" customFormat="1"/>
    <row r="137" customFormat="1"/>
    <row r="138" customFormat="1"/>
    <row r="139" customFormat="1"/>
    <row r="140" customFormat="1"/>
    <row r="141" customFormat="1"/>
    <row r="142" customFormat="1"/>
    <row r="143" customFormat="1"/>
    <row r="144" customFormat="1"/>
    <row r="145" customFormat="1"/>
    <row r="146" customFormat="1"/>
    <row r="147" customFormat="1"/>
    <row r="148" customFormat="1"/>
    <row r="149" customFormat="1"/>
    <row r="150" customFormat="1"/>
    <row r="151" customFormat="1"/>
    <row r="152" customFormat="1"/>
    <row r="153" customFormat="1"/>
    <row r="154" customFormat="1"/>
    <row r="155" customFormat="1"/>
    <row r="156" customFormat="1"/>
    <row r="157" customFormat="1"/>
    <row r="158" customFormat="1"/>
    <row r="159" customFormat="1"/>
    <row r="160" customFormat="1"/>
    <row r="161" customFormat="1"/>
    <row r="162" customFormat="1"/>
    <row r="163" customFormat="1"/>
    <row r="164" customFormat="1"/>
    <row r="165" customFormat="1"/>
    <row r="166" customFormat="1"/>
    <row r="167" customFormat="1"/>
    <row r="168" customFormat="1"/>
    <row r="169" customFormat="1"/>
    <row r="170" customFormat="1"/>
    <row r="171" customFormat="1"/>
    <row r="172" customFormat="1"/>
    <row r="173" customFormat="1"/>
    <row r="174" customFormat="1"/>
    <row r="175" customFormat="1"/>
    <row r="176" customFormat="1"/>
    <row r="177" customFormat="1"/>
    <row r="178" customFormat="1"/>
    <row r="179" customFormat="1"/>
    <row r="180" customFormat="1"/>
    <row r="181" customFormat="1"/>
    <row r="182" customFormat="1"/>
    <row r="183" customFormat="1"/>
    <row r="184" customFormat="1"/>
    <row r="185" customFormat="1"/>
    <row r="186" customFormat="1"/>
    <row r="187" customFormat="1"/>
    <row r="188" customFormat="1"/>
    <row r="189" customFormat="1"/>
    <row r="190" customFormat="1"/>
    <row r="191" customFormat="1"/>
    <row r="192" customFormat="1"/>
    <row r="193" customFormat="1"/>
    <row r="194" customFormat="1"/>
    <row r="195" customFormat="1"/>
    <row r="196" customFormat="1"/>
    <row r="197" customFormat="1"/>
    <row r="198" customFormat="1"/>
    <row r="199" customFormat="1"/>
    <row r="200" customFormat="1"/>
    <row r="201" customFormat="1"/>
    <row r="202" customFormat="1"/>
    <row r="203" customFormat="1"/>
    <row r="204" customFormat="1"/>
    <row r="205" customFormat="1"/>
    <row r="206" customFormat="1"/>
    <row r="207" customFormat="1"/>
    <row r="208" customFormat="1"/>
    <row r="209" customFormat="1"/>
    <row r="210" customFormat="1"/>
    <row r="211" customFormat="1"/>
    <row r="212" customFormat="1"/>
    <row r="213" customFormat="1"/>
    <row r="214" customFormat="1"/>
    <row r="215" customFormat="1"/>
    <row r="216" customFormat="1"/>
    <row r="217" customFormat="1"/>
    <row r="218" customFormat="1"/>
    <row r="219" customFormat="1"/>
    <row r="220" customFormat="1"/>
    <row r="221" customFormat="1"/>
    <row r="222" customFormat="1"/>
    <row r="223" customFormat="1"/>
    <row r="224" customFormat="1"/>
    <row r="225" customFormat="1"/>
    <row r="226" customFormat="1"/>
    <row r="227" customFormat="1"/>
    <row r="228" customFormat="1"/>
    <row r="229" customFormat="1"/>
    <row r="230" customFormat="1"/>
    <row r="231" customFormat="1"/>
    <row r="232" customFormat="1"/>
    <row r="233" customFormat="1"/>
    <row r="234" customFormat="1"/>
    <row r="235" customFormat="1"/>
    <row r="236" customFormat="1"/>
    <row r="237" customFormat="1"/>
    <row r="238" customFormat="1"/>
    <row r="239" customFormat="1"/>
    <row r="240" customFormat="1"/>
    <row r="241" customFormat="1"/>
    <row r="242" customFormat="1"/>
    <row r="243" customFormat="1"/>
    <row r="244" customFormat="1"/>
    <row r="245" customFormat="1"/>
    <row r="246" customFormat="1"/>
    <row r="247" customFormat="1"/>
    <row r="248" customFormat="1"/>
    <row r="249" customFormat="1"/>
    <row r="250" customFormat="1"/>
    <row r="251" customFormat="1"/>
    <row r="252" customFormat="1"/>
    <row r="253" customFormat="1"/>
    <row r="254" customFormat="1"/>
    <row r="255" customFormat="1"/>
    <row r="256" customFormat="1"/>
    <row r="257" customFormat="1"/>
    <row r="258" customFormat="1"/>
    <row r="259" customFormat="1"/>
    <row r="260" customFormat="1"/>
    <row r="261" customFormat="1"/>
    <row r="262" customFormat="1"/>
    <row r="263" customFormat="1"/>
    <row r="264" customFormat="1"/>
    <row r="265" customFormat="1"/>
    <row r="266" customFormat="1"/>
    <row r="267" customFormat="1"/>
    <row r="268" customFormat="1"/>
    <row r="269" customFormat="1"/>
    <row r="270" customFormat="1"/>
    <row r="271" customFormat="1"/>
    <row r="272" customFormat="1"/>
    <row r="273" customFormat="1"/>
    <row r="274" customFormat="1"/>
    <row r="275" customFormat="1"/>
    <row r="276" customFormat="1"/>
    <row r="277" customFormat="1"/>
    <row r="278" customFormat="1"/>
    <row r="279" customFormat="1"/>
    <row r="280" customFormat="1"/>
    <row r="281" customFormat="1"/>
    <row r="282" customFormat="1"/>
    <row r="283" customFormat="1"/>
    <row r="284" customFormat="1"/>
    <row r="285" customFormat="1"/>
    <row r="286" customFormat="1"/>
    <row r="287" customFormat="1"/>
    <row r="288" customFormat="1"/>
    <row r="289" customFormat="1"/>
    <row r="290" customFormat="1"/>
    <row r="291" customFormat="1"/>
    <row r="292" customFormat="1"/>
    <row r="293" customFormat="1"/>
    <row r="294" customFormat="1"/>
    <row r="295" customFormat="1"/>
    <row r="296" customFormat="1"/>
    <row r="297" customFormat="1"/>
    <row r="298" customFormat="1"/>
    <row r="299" customFormat="1"/>
    <row r="300" customFormat="1"/>
    <row r="301" customFormat="1"/>
    <row r="302" customFormat="1"/>
    <row r="303" customFormat="1"/>
    <row r="304" customFormat="1"/>
    <row r="305" customFormat="1"/>
    <row r="306" customFormat="1"/>
    <row r="307" customFormat="1"/>
    <row r="308" customFormat="1"/>
    <row r="309" customFormat="1"/>
    <row r="310" customFormat="1"/>
    <row r="311" customFormat="1"/>
    <row r="312" customFormat="1"/>
    <row r="313" customFormat="1"/>
    <row r="314" customFormat="1"/>
    <row r="315" customFormat="1"/>
    <row r="316" customFormat="1"/>
    <row r="317" customFormat="1"/>
    <row r="318" customFormat="1"/>
    <row r="319" customFormat="1"/>
    <row r="320" customFormat="1"/>
    <row r="321" customFormat="1"/>
    <row r="322" customFormat="1"/>
    <row r="323" customFormat="1"/>
    <row r="324" customFormat="1"/>
    <row r="325" customFormat="1"/>
    <row r="326" customFormat="1"/>
    <row r="327" customFormat="1"/>
    <row r="328" customFormat="1"/>
    <row r="329" customFormat="1"/>
    <row r="330" customFormat="1"/>
    <row r="331" customFormat="1"/>
    <row r="332" customFormat="1"/>
    <row r="333" customFormat="1"/>
    <row r="334" customFormat="1"/>
    <row r="335" customFormat="1"/>
    <row r="336" customFormat="1"/>
    <row r="337" customFormat="1"/>
    <row r="338" customFormat="1"/>
    <row r="339" customFormat="1"/>
    <row r="340" customFormat="1"/>
    <row r="341" customFormat="1"/>
    <row r="342" customFormat="1"/>
    <row r="343" customFormat="1"/>
    <row r="344" customFormat="1"/>
    <row r="345" customFormat="1"/>
    <row r="346" customFormat="1"/>
    <row r="347" customFormat="1"/>
    <row r="348" customFormat="1"/>
    <row r="349" customFormat="1"/>
    <row r="350" customFormat="1"/>
    <row r="351" customFormat="1"/>
    <row r="352" customFormat="1"/>
    <row r="353" customFormat="1"/>
    <row r="354" customFormat="1"/>
    <row r="355" customFormat="1"/>
    <row r="356" customFormat="1"/>
    <row r="357" customFormat="1"/>
    <row r="358" customFormat="1"/>
    <row r="359" customFormat="1"/>
    <row r="360" customFormat="1"/>
    <row r="361" customFormat="1"/>
    <row r="362" customFormat="1"/>
    <row r="363" customFormat="1"/>
    <row r="364" customFormat="1"/>
    <row r="365" customFormat="1"/>
    <row r="366" customFormat="1"/>
    <row r="367" customFormat="1"/>
    <row r="368" customFormat="1"/>
    <row r="369" customFormat="1"/>
    <row r="370" customFormat="1"/>
    <row r="371" customFormat="1"/>
    <row r="372" customFormat="1"/>
    <row r="373" customFormat="1"/>
    <row r="374" customFormat="1"/>
    <row r="375" customFormat="1"/>
    <row r="376" customFormat="1"/>
    <row r="377" customFormat="1"/>
    <row r="378" customFormat="1"/>
    <row r="379" customFormat="1"/>
    <row r="380" customFormat="1"/>
    <row r="381" customFormat="1"/>
    <row r="382" customFormat="1"/>
    <row r="383" customFormat="1"/>
    <row r="384" customFormat="1"/>
    <row r="385" customFormat="1"/>
    <row r="386" customFormat="1"/>
    <row r="387" customFormat="1"/>
    <row r="388" customFormat="1"/>
    <row r="389" customFormat="1"/>
    <row r="390" customFormat="1"/>
    <row r="391" customFormat="1"/>
    <row r="392" customFormat="1"/>
    <row r="393" customFormat="1"/>
    <row r="394" customFormat="1"/>
    <row r="395" customFormat="1"/>
    <row r="396" customFormat="1"/>
    <row r="397" customFormat="1"/>
    <row r="398" customFormat="1"/>
    <row r="399" customFormat="1"/>
    <row r="400" customFormat="1"/>
    <row r="401" customFormat="1"/>
    <row r="402" customFormat="1"/>
    <row r="403" customFormat="1"/>
    <row r="404" customFormat="1"/>
    <row r="405" customFormat="1"/>
    <row r="406" customFormat="1"/>
    <row r="407" customFormat="1"/>
    <row r="408" customFormat="1"/>
    <row r="409" customFormat="1"/>
    <row r="410" customFormat="1"/>
    <row r="411" customFormat="1"/>
    <row r="412" customFormat="1"/>
    <row r="413" customFormat="1"/>
    <row r="414" customFormat="1"/>
    <row r="415" customFormat="1"/>
    <row r="416" customFormat="1"/>
    <row r="417" customFormat="1"/>
    <row r="418" customFormat="1"/>
    <row r="419" customFormat="1"/>
    <row r="420" customFormat="1"/>
    <row r="421" customFormat="1"/>
    <row r="422" customFormat="1"/>
    <row r="423" customFormat="1"/>
    <row r="424" customFormat="1"/>
    <row r="425" customFormat="1"/>
    <row r="426" customFormat="1"/>
    <row r="427" customFormat="1"/>
    <row r="428" customFormat="1"/>
    <row r="429" customFormat="1"/>
    <row r="430" customFormat="1"/>
    <row r="431" customFormat="1"/>
    <row r="432" customFormat="1"/>
    <row r="433" customFormat="1"/>
    <row r="434" customFormat="1"/>
    <row r="435" customFormat="1"/>
    <row r="436" customFormat="1"/>
    <row r="437" customFormat="1"/>
    <row r="438" customFormat="1"/>
    <row r="439" customFormat="1"/>
    <row r="440" customFormat="1"/>
    <row r="441" customFormat="1"/>
    <row r="442" customFormat="1"/>
    <row r="443" customFormat="1"/>
    <row r="444" customFormat="1"/>
    <row r="445" customFormat="1"/>
    <row r="446" customFormat="1"/>
    <row r="447" customFormat="1"/>
    <row r="448" customFormat="1"/>
    <row r="449" customFormat="1"/>
    <row r="450" customFormat="1"/>
    <row r="451" customFormat="1"/>
    <row r="452" customFormat="1"/>
    <row r="453" customFormat="1"/>
    <row r="454" customFormat="1"/>
    <row r="455" customFormat="1"/>
    <row r="456" customFormat="1"/>
    <row r="457" customFormat="1"/>
    <row r="458" customFormat="1"/>
    <row r="459" customFormat="1"/>
    <row r="460" customFormat="1"/>
    <row r="461" customFormat="1"/>
    <row r="462" customFormat="1"/>
    <row r="463" customFormat="1"/>
    <row r="464" customFormat="1"/>
    <row r="465" customFormat="1"/>
    <row r="466" customFormat="1"/>
    <row r="467" customFormat="1"/>
    <row r="468" customFormat="1"/>
    <row r="469" customFormat="1"/>
    <row r="470" customFormat="1"/>
    <row r="471" customFormat="1"/>
    <row r="472" customFormat="1"/>
    <row r="473" customFormat="1"/>
    <row r="474" customFormat="1"/>
    <row r="475" customFormat="1"/>
    <row r="476" customFormat="1"/>
    <row r="477" customFormat="1"/>
    <row r="478" customFormat="1"/>
    <row r="479" customFormat="1"/>
    <row r="480" customFormat="1"/>
    <row r="481" customFormat="1"/>
    <row r="482" customFormat="1"/>
    <row r="483" customFormat="1"/>
    <row r="484" customFormat="1"/>
    <row r="485" customFormat="1"/>
    <row r="486" customFormat="1"/>
    <row r="487" customFormat="1"/>
    <row r="488" customFormat="1"/>
    <row r="489" customFormat="1"/>
    <row r="490" customFormat="1"/>
    <row r="491" customFormat="1"/>
    <row r="492" customFormat="1"/>
    <row r="493" customFormat="1"/>
    <row r="494" customFormat="1"/>
    <row r="495" customFormat="1"/>
    <row r="496" customFormat="1"/>
    <row r="497" customFormat="1"/>
    <row r="498" customFormat="1"/>
    <row r="499" customFormat="1"/>
    <row r="500" customFormat="1"/>
    <row r="501" customFormat="1"/>
    <row r="502" customFormat="1"/>
    <row r="503" customFormat="1"/>
    <row r="504" customFormat="1"/>
    <row r="505" customFormat="1"/>
    <row r="506" customFormat="1"/>
    <row r="507" customFormat="1"/>
    <row r="508" customFormat="1"/>
    <row r="509" customFormat="1"/>
    <row r="510" customFormat="1"/>
    <row r="511" customFormat="1"/>
    <row r="512" customFormat="1"/>
    <row r="513" customFormat="1"/>
    <row r="514" customFormat="1"/>
    <row r="515" customFormat="1"/>
    <row r="516" customFormat="1"/>
    <row r="517" customFormat="1"/>
    <row r="518" customFormat="1"/>
    <row r="519" customFormat="1"/>
    <row r="520" customFormat="1"/>
    <row r="521" customFormat="1"/>
    <row r="522" customFormat="1"/>
    <row r="523" customFormat="1"/>
    <row r="524" customFormat="1"/>
    <row r="525" customFormat="1"/>
    <row r="526" customFormat="1"/>
    <row r="527" customFormat="1"/>
    <row r="528" customFormat="1"/>
    <row r="529" customFormat="1"/>
    <row r="530" customFormat="1"/>
    <row r="531" customFormat="1"/>
    <row r="532" customFormat="1"/>
    <row r="533" customFormat="1"/>
    <row r="534" customFormat="1"/>
    <row r="535" customFormat="1"/>
    <row r="536" customFormat="1"/>
    <row r="537" customFormat="1"/>
    <row r="538" customFormat="1"/>
    <row r="539" customFormat="1"/>
    <row r="540" customFormat="1"/>
    <row r="541" customFormat="1"/>
    <row r="542" customFormat="1"/>
    <row r="543" customFormat="1"/>
    <row r="544" customFormat="1"/>
    <row r="545" customFormat="1"/>
    <row r="546" customFormat="1"/>
    <row r="547" customFormat="1"/>
    <row r="548" customFormat="1"/>
    <row r="549" customFormat="1"/>
    <row r="550" customFormat="1"/>
    <row r="551" customFormat="1"/>
    <row r="552" customFormat="1"/>
    <row r="553" customFormat="1"/>
    <row r="554" customFormat="1"/>
    <row r="555" customFormat="1"/>
    <row r="556" customFormat="1"/>
    <row r="557" customFormat="1"/>
    <row r="558" customFormat="1"/>
    <row r="559" customFormat="1"/>
    <row r="560" customFormat="1"/>
    <row r="561" customFormat="1"/>
    <row r="562" customFormat="1"/>
    <row r="563" customFormat="1"/>
    <row r="564" customFormat="1"/>
    <row r="565" customFormat="1"/>
    <row r="566" customFormat="1"/>
    <row r="567" customFormat="1"/>
    <row r="568" customFormat="1"/>
    <row r="569" customFormat="1"/>
    <row r="570" customFormat="1"/>
    <row r="571" customFormat="1"/>
    <row r="572" customFormat="1"/>
    <row r="573" customFormat="1"/>
    <row r="574" customFormat="1"/>
    <row r="575" customFormat="1"/>
    <row r="576" customFormat="1"/>
    <row r="577" customFormat="1"/>
    <row r="578" customFormat="1"/>
    <row r="579" customFormat="1"/>
    <row r="580" customFormat="1"/>
    <row r="581" customFormat="1"/>
    <row r="582" customFormat="1"/>
    <row r="583" customFormat="1"/>
    <row r="584" customFormat="1"/>
    <row r="585" customFormat="1"/>
    <row r="586" customFormat="1"/>
    <row r="587" customFormat="1"/>
    <row r="588" customFormat="1"/>
    <row r="589" customFormat="1"/>
    <row r="590" customFormat="1"/>
    <row r="591" customFormat="1"/>
    <row r="592" customFormat="1"/>
    <row r="593" customFormat="1"/>
    <row r="594" customFormat="1"/>
    <row r="595" customFormat="1"/>
    <row r="596" customFormat="1"/>
    <row r="597" customFormat="1"/>
    <row r="598" customFormat="1"/>
    <row r="599" customFormat="1"/>
    <row r="600" customFormat="1"/>
    <row r="601" customFormat="1"/>
    <row r="602" customFormat="1"/>
    <row r="603" customFormat="1"/>
    <row r="604" customFormat="1"/>
    <row r="605" customFormat="1"/>
    <row r="606" customFormat="1"/>
    <row r="607" customFormat="1"/>
    <row r="608" customFormat="1"/>
    <row r="609" customFormat="1"/>
    <row r="610" customFormat="1"/>
    <row r="611" customFormat="1"/>
    <row r="612" customFormat="1"/>
    <row r="613" customFormat="1"/>
    <row r="614" customFormat="1"/>
    <row r="615" customFormat="1"/>
    <row r="616" customFormat="1"/>
    <row r="617" customFormat="1"/>
    <row r="618" customFormat="1"/>
    <row r="619" customFormat="1"/>
    <row r="620" customFormat="1"/>
    <row r="621" customFormat="1"/>
    <row r="622" customFormat="1"/>
    <row r="623" customFormat="1"/>
    <row r="624" customFormat="1"/>
    <row r="625" customFormat="1"/>
    <row r="626" customFormat="1"/>
    <row r="627" customFormat="1"/>
    <row r="628" customFormat="1"/>
    <row r="629" customFormat="1"/>
    <row r="630" customFormat="1"/>
    <row r="631" customFormat="1"/>
    <row r="632" customFormat="1"/>
    <row r="633" customFormat="1"/>
    <row r="634" customFormat="1"/>
    <row r="635" customFormat="1"/>
    <row r="636" customFormat="1"/>
    <row r="637" customFormat="1"/>
    <row r="638" customFormat="1"/>
    <row r="639" customFormat="1"/>
    <row r="640" customFormat="1"/>
    <row r="641" customFormat="1"/>
    <row r="642" customFormat="1"/>
    <row r="643" customFormat="1"/>
    <row r="644" customFormat="1"/>
    <row r="645" customFormat="1"/>
    <row r="646" customFormat="1"/>
    <row r="647" customFormat="1"/>
    <row r="648" customFormat="1"/>
    <row r="649" customFormat="1"/>
    <row r="650" customFormat="1"/>
    <row r="651" customFormat="1"/>
    <row r="652" customFormat="1"/>
    <row r="653" customFormat="1"/>
    <row r="654" customFormat="1"/>
    <row r="655" customFormat="1"/>
    <row r="656" customFormat="1"/>
    <row r="657" customFormat="1"/>
    <row r="658" customFormat="1"/>
    <row r="659" customFormat="1"/>
    <row r="660" customFormat="1"/>
    <row r="661" customFormat="1"/>
    <row r="662" customFormat="1"/>
    <row r="663" customFormat="1"/>
    <row r="664" customFormat="1"/>
    <row r="665" customFormat="1"/>
    <row r="666" customFormat="1"/>
    <row r="667" customFormat="1"/>
    <row r="668" customFormat="1"/>
    <row r="669" customFormat="1"/>
    <row r="670" customFormat="1"/>
    <row r="671" customFormat="1"/>
    <row r="672" customFormat="1"/>
    <row r="673" customFormat="1"/>
    <row r="674" customFormat="1"/>
    <row r="675" customFormat="1"/>
    <row r="676" customFormat="1"/>
    <row r="677" customFormat="1"/>
    <row r="678" customFormat="1"/>
    <row r="679" customFormat="1"/>
    <row r="680" customFormat="1"/>
    <row r="681" customFormat="1"/>
    <row r="682" customFormat="1"/>
    <row r="683" customFormat="1"/>
    <row r="684" customFormat="1"/>
    <row r="685" customFormat="1"/>
    <row r="686" customFormat="1"/>
    <row r="687" customFormat="1"/>
    <row r="688" customFormat="1"/>
    <row r="689" customFormat="1"/>
    <row r="690" customFormat="1"/>
    <row r="691" customFormat="1"/>
    <row r="692" customFormat="1"/>
    <row r="693" customFormat="1"/>
    <row r="694" customFormat="1"/>
    <row r="695" customFormat="1"/>
    <row r="696" customFormat="1"/>
    <row r="697" customFormat="1"/>
    <row r="698" customFormat="1"/>
    <row r="699" customFormat="1"/>
    <row r="700" customFormat="1"/>
    <row r="701" customFormat="1"/>
    <row r="702" customFormat="1"/>
    <row r="703" customFormat="1"/>
    <row r="704" customFormat="1"/>
    <row r="705" customFormat="1"/>
    <row r="706" customFormat="1"/>
    <row r="707" customFormat="1"/>
    <row r="708" customFormat="1"/>
    <row r="709" customFormat="1"/>
    <row r="710" customFormat="1"/>
    <row r="711" customFormat="1"/>
    <row r="712" customFormat="1"/>
    <row r="713" customFormat="1"/>
    <row r="714" customFormat="1"/>
    <row r="715" customFormat="1"/>
    <row r="716" customFormat="1"/>
    <row r="717" customFormat="1"/>
    <row r="718" customFormat="1"/>
    <row r="719" customFormat="1"/>
    <row r="720" customFormat="1"/>
    <row r="721" customFormat="1"/>
    <row r="722" customFormat="1"/>
    <row r="723" customFormat="1"/>
    <row r="724" customFormat="1"/>
    <row r="725" customFormat="1"/>
    <row r="726" customFormat="1"/>
    <row r="727" customFormat="1"/>
    <row r="728" customFormat="1"/>
    <row r="729" customFormat="1"/>
    <row r="730" customFormat="1"/>
    <row r="731" customFormat="1"/>
    <row r="732" customFormat="1"/>
    <row r="733" customFormat="1"/>
    <row r="734" customFormat="1"/>
    <row r="735" customFormat="1"/>
    <row r="736" customFormat="1"/>
    <row r="737" customFormat="1"/>
    <row r="738" customFormat="1"/>
    <row r="739" customFormat="1"/>
    <row r="740" customFormat="1"/>
    <row r="741" customFormat="1"/>
    <row r="742" customFormat="1"/>
    <row r="743" customFormat="1"/>
    <row r="744" customFormat="1"/>
    <row r="745" customFormat="1"/>
    <row r="746" customFormat="1"/>
    <row r="747" customFormat="1"/>
    <row r="748" customFormat="1"/>
    <row r="749" customFormat="1"/>
    <row r="750" customFormat="1"/>
    <row r="751" customFormat="1"/>
    <row r="752" customFormat="1"/>
    <row r="753" customFormat="1"/>
    <row r="754" customFormat="1"/>
    <row r="755" customFormat="1"/>
    <row r="756" customFormat="1"/>
    <row r="757" customFormat="1"/>
    <row r="758" customFormat="1"/>
    <row r="759" customFormat="1"/>
    <row r="760" customFormat="1"/>
    <row r="761" customFormat="1"/>
    <row r="762" customFormat="1"/>
    <row r="763" customFormat="1"/>
    <row r="764" customFormat="1"/>
    <row r="765" customFormat="1"/>
    <row r="766" customFormat="1"/>
    <row r="767" customFormat="1"/>
    <row r="768" customFormat="1"/>
    <row r="769" customFormat="1"/>
    <row r="770" customFormat="1"/>
    <row r="771" customFormat="1"/>
    <row r="772" customFormat="1"/>
    <row r="773" customFormat="1"/>
    <row r="774" customFormat="1"/>
    <row r="775" customFormat="1"/>
    <row r="776" customFormat="1"/>
    <row r="777" customFormat="1"/>
    <row r="778" customFormat="1"/>
    <row r="779" customFormat="1"/>
    <row r="780" customFormat="1"/>
    <row r="781" customFormat="1"/>
    <row r="782" customFormat="1"/>
    <row r="783" customFormat="1"/>
    <row r="784" customFormat="1"/>
    <row r="785" customFormat="1"/>
    <row r="786" customFormat="1"/>
    <row r="787" customFormat="1"/>
    <row r="788" customFormat="1"/>
    <row r="789" customFormat="1"/>
    <row r="790" customFormat="1"/>
    <row r="791" customFormat="1"/>
    <row r="792" customFormat="1"/>
    <row r="793" customFormat="1"/>
    <row r="794" customFormat="1"/>
    <row r="795" customFormat="1"/>
    <row r="796" customFormat="1"/>
    <row r="797" customFormat="1"/>
    <row r="798" customFormat="1"/>
    <row r="799" customFormat="1"/>
    <row r="800" customFormat="1"/>
    <row r="801" customFormat="1"/>
    <row r="802" customFormat="1"/>
    <row r="803" customFormat="1"/>
    <row r="804" customFormat="1"/>
    <row r="805" customFormat="1"/>
    <row r="806" customFormat="1"/>
    <row r="807" customFormat="1"/>
    <row r="808" customFormat="1"/>
    <row r="809" customFormat="1"/>
    <row r="810" customFormat="1"/>
    <row r="811" customFormat="1"/>
    <row r="812" customFormat="1"/>
    <row r="813" customFormat="1"/>
    <row r="814" customFormat="1"/>
    <row r="815" customFormat="1"/>
    <row r="816" customFormat="1"/>
    <row r="817" customFormat="1"/>
    <row r="818" customFormat="1"/>
    <row r="819" customFormat="1"/>
    <row r="820" customFormat="1"/>
    <row r="821" customFormat="1"/>
    <row r="822" customFormat="1"/>
    <row r="823" customFormat="1"/>
    <row r="824" customFormat="1"/>
    <row r="825" customFormat="1"/>
    <row r="826" customFormat="1"/>
    <row r="827" customFormat="1"/>
    <row r="828" customFormat="1"/>
    <row r="829" customFormat="1"/>
    <row r="830" customFormat="1"/>
    <row r="831" customFormat="1"/>
    <row r="832" customFormat="1"/>
    <row r="833" spans="2:8" customFormat="1">
      <c r="B833" s="3"/>
      <c r="C833" s="3"/>
      <c r="D833" s="3"/>
      <c r="E833" s="3"/>
      <c r="F833" s="3"/>
      <c r="G833" s="3"/>
      <c r="H833" s="3"/>
    </row>
    <row r="834" spans="2:8" customFormat="1">
      <c r="B834" s="3"/>
      <c r="C834" s="3"/>
      <c r="D834" s="3"/>
      <c r="E834" s="3"/>
      <c r="F834" s="3"/>
      <c r="G834" s="3"/>
      <c r="H834" s="3"/>
    </row>
    <row r="835" spans="2:8" customFormat="1">
      <c r="B835" s="3"/>
      <c r="C835" s="3"/>
      <c r="D835" s="3"/>
      <c r="E835" s="3"/>
      <c r="F835" s="3"/>
      <c r="G835" s="3"/>
      <c r="H835" s="3"/>
    </row>
    <row r="836" spans="2:8" customFormat="1">
      <c r="B836" s="3"/>
      <c r="C836" s="3"/>
      <c r="D836" s="3"/>
      <c r="E836" s="3"/>
      <c r="F836" s="3"/>
      <c r="G836" s="3"/>
      <c r="H836" s="3"/>
    </row>
    <row r="837" spans="2:8" customFormat="1">
      <c r="B837" s="3"/>
      <c r="C837" s="3"/>
      <c r="D837" s="3"/>
      <c r="E837" s="3"/>
      <c r="F837" s="3"/>
      <c r="G837" s="3"/>
      <c r="H837" s="3"/>
    </row>
    <row r="838" spans="2:8" customFormat="1">
      <c r="B838" s="3"/>
      <c r="C838" s="3"/>
      <c r="D838" s="3"/>
      <c r="E838" s="3"/>
      <c r="F838" s="3"/>
      <c r="G838" s="3"/>
      <c r="H838" s="3"/>
    </row>
    <row r="839" spans="2:8" customFormat="1">
      <c r="B839" s="3"/>
      <c r="C839" s="3"/>
      <c r="D839" s="3"/>
      <c r="E839" s="3"/>
      <c r="F839" s="3"/>
      <c r="G839" s="3"/>
      <c r="H839" s="3"/>
    </row>
    <row r="840" spans="2:8" customFormat="1">
      <c r="B840" s="3"/>
      <c r="C840" s="3"/>
      <c r="D840" s="3"/>
      <c r="E840" s="3"/>
      <c r="F840" s="3"/>
      <c r="G840" s="3"/>
      <c r="H840" s="3"/>
    </row>
    <row r="841" spans="2:8" customFormat="1">
      <c r="B841" s="3"/>
      <c r="C841" s="3"/>
      <c r="D841" s="3"/>
      <c r="E841" s="3"/>
      <c r="F841" s="3"/>
      <c r="G841" s="3"/>
      <c r="H841" s="3"/>
    </row>
    <row r="842" spans="2:8" customFormat="1">
      <c r="B842" s="3"/>
      <c r="C842" s="3"/>
      <c r="D842" s="3"/>
      <c r="E842" s="3"/>
      <c r="F842" s="3"/>
      <c r="G842" s="3"/>
      <c r="H842" s="3"/>
    </row>
    <row r="843" spans="2:8" customFormat="1">
      <c r="B843" s="3"/>
      <c r="C843" s="3"/>
      <c r="D843" s="3"/>
      <c r="E843" s="3"/>
      <c r="F843" s="3"/>
      <c r="G843" s="3"/>
      <c r="H843" s="3"/>
    </row>
    <row r="844" spans="2:8" customFormat="1">
      <c r="B844" s="3"/>
      <c r="C844" s="3"/>
      <c r="D844" s="3"/>
      <c r="E844" s="3"/>
      <c r="F844" s="3"/>
      <c r="G844" s="3"/>
      <c r="H844" s="3"/>
    </row>
    <row r="845" spans="2:8" customFormat="1">
      <c r="B845" s="3"/>
      <c r="C845" s="3"/>
      <c r="D845" s="3"/>
      <c r="E845" s="3"/>
      <c r="F845" s="3"/>
      <c r="G845" s="3"/>
      <c r="H845" s="3"/>
    </row>
    <row r="846" spans="2:8" customFormat="1">
      <c r="B846" s="3"/>
      <c r="C846" s="3"/>
      <c r="D846" s="3"/>
      <c r="E846" s="3"/>
      <c r="F846" s="3"/>
      <c r="G846" s="3"/>
      <c r="H846" s="3"/>
    </row>
    <row r="847" spans="2:8" customFormat="1">
      <c r="B847" s="3"/>
      <c r="C847" s="3"/>
      <c r="D847" s="3"/>
      <c r="E847" s="3"/>
      <c r="F847" s="3"/>
      <c r="G847" s="3"/>
      <c r="H847" s="3"/>
    </row>
    <row r="848" spans="2:8" customFormat="1">
      <c r="B848" s="3"/>
      <c r="C848" s="3"/>
      <c r="D848" s="3"/>
      <c r="E848" s="3"/>
      <c r="F848" s="3"/>
      <c r="G848" s="3"/>
      <c r="H848" s="3"/>
    </row>
  </sheetData>
  <mergeCells count="1">
    <mergeCell ref="G9:G10"/>
  </mergeCells>
  <conditionalFormatting sqref="G11">
    <cfRule type="cellIs" dxfId="56" priority="35" operator="equal">
      <formula>"Possibly Feasible"</formula>
    </cfRule>
    <cfRule type="cellIs" dxfId="55" priority="36" operator="equal">
      <formula>"Likely Feasible"</formula>
    </cfRule>
    <cfRule type="containsText" dxfId="54" priority="37" operator="containsText" text="Unlikely Feasibility">
      <formula>NOT(ISERROR(SEARCH("Unlikely Feasibility",G11)))</formula>
    </cfRule>
  </conditionalFormatting>
  <dataValidations count="2">
    <dataValidation type="list" allowBlank="1" showInputMessage="1" showErrorMessage="1" sqref="D9" xr:uid="{090AB9DE-81E6-480E-834C-BA867C5677D0}">
      <formula1>"Higher Priced,Lower Priced"</formula1>
    </dataValidation>
    <dataValidation type="list" allowBlank="1" showInputMessage="1" showErrorMessage="1" sqref="D8" xr:uid="{712202AA-A638-4561-9AB2-F59BD9A1771C}">
      <formula1>"Mid Rise,Single Family"</formula1>
    </dataValidation>
  </dataValidation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cellIs" priority="88" operator="greaterThanOrEqual" id="{83443962-2396-4D2B-B13B-AC91327E092E}">
            <xm:f>ModelInputs!$C$13</xm:f>
            <x14:dxf>
              <font>
                <color rgb="FF006100"/>
              </font>
              <fill>
                <patternFill>
                  <bgColor rgb="FFC6EFCE"/>
                </patternFill>
              </fill>
            </x14:dxf>
          </x14:cfRule>
          <x14:cfRule type="cellIs" priority="89" operator="between" id="{09A70C5F-2271-4ABA-A1CD-D11DCE99FB41}">
            <xm:f>ModelInputs!$C$14</xm:f>
            <xm:f>ModelInputs!$C$13</xm:f>
            <x14:dxf>
              <font>
                <color theme="2" tint="-0.749961851863155"/>
              </font>
              <fill>
                <patternFill>
                  <bgColor rgb="FFCCCC00"/>
                </patternFill>
              </fill>
            </x14:dxf>
          </x14:cfRule>
          <x14:cfRule type="cellIs" priority="90" operator="lessThan" id="{58E10D50-1FF2-4F74-812A-E342B677F323}">
            <xm:f>ModelInputs!$C$14</xm:f>
            <x14:dxf>
              <font>
                <color rgb="FF9C0006"/>
              </font>
              <fill>
                <patternFill>
                  <bgColor rgb="FFFFC7CE"/>
                </patternFill>
              </fill>
            </x14:dxf>
          </x14:cfRule>
          <xm:sqref>G9</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4F9452-3919-4FE3-8333-90CD82D22299}">
          <x14:formula1>
            <xm:f>ModelInputs!$B$64:$B$68</xm:f>
          </x14:formula1>
          <xm:sqref>D7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F2CCC1-E164-4D2A-8480-6C610B94F020}">
  <sheetPr codeName="Sheet20"/>
  <dimension ref="A1:O855"/>
  <sheetViews>
    <sheetView topLeftCell="A4" zoomScale="70" zoomScaleNormal="70" workbookViewId="0">
      <selection activeCell="D15" sqref="D15"/>
    </sheetView>
  </sheetViews>
  <sheetFormatPr defaultColWidth="8.88671875" defaultRowHeight="14.4"/>
  <cols>
    <col min="1" max="1" width="3.5546875" style="3" customWidth="1"/>
    <col min="2" max="2" width="6.6640625" style="3" customWidth="1"/>
    <col min="3" max="3" width="32" style="3" customWidth="1"/>
    <col min="4" max="4" width="24.33203125" style="3" customWidth="1"/>
    <col min="5" max="5" width="16" style="3" customWidth="1"/>
    <col min="6" max="6" width="10" style="3" customWidth="1"/>
    <col min="7" max="7" width="28.77734375" style="3" customWidth="1"/>
    <col min="8" max="8" width="12" style="3" customWidth="1"/>
    <col min="9" max="9" width="11" customWidth="1"/>
    <col min="10" max="10" width="21" bestFit="1" customWidth="1"/>
    <col min="11" max="11" width="11" customWidth="1"/>
    <col min="12" max="12" width="11.33203125" bestFit="1" customWidth="1"/>
    <col min="14" max="14" width="11.33203125" bestFit="1" customWidth="1"/>
    <col min="15" max="15" width="11.5546875" bestFit="1" customWidth="1"/>
    <col min="16" max="16" width="10.5546875" style="3" bestFit="1" customWidth="1"/>
    <col min="17" max="17" width="11.33203125" style="3" bestFit="1" customWidth="1"/>
    <col min="18" max="16384" width="8.88671875" style="3"/>
  </cols>
  <sheetData>
    <row r="1" spans="1:15" ht="27.75" customHeight="1" thickBot="1">
      <c r="A1" s="2"/>
      <c r="B1" s="2"/>
      <c r="C1" s="2"/>
      <c r="D1" s="2"/>
      <c r="E1" s="2"/>
      <c r="F1" s="2"/>
      <c r="G1" s="2"/>
      <c r="H1" s="2"/>
      <c r="I1" s="3"/>
      <c r="J1" s="3"/>
      <c r="K1" s="3"/>
      <c r="L1" s="3"/>
      <c r="M1" s="3"/>
      <c r="N1" s="3"/>
      <c r="O1" s="3"/>
    </row>
    <row r="2" spans="1:15">
      <c r="A2" s="2"/>
      <c r="B2" s="4"/>
      <c r="C2" s="5"/>
      <c r="D2" s="5"/>
      <c r="E2" s="5"/>
      <c r="F2" s="5"/>
      <c r="G2" s="5"/>
      <c r="H2" s="129"/>
      <c r="I2" s="3"/>
      <c r="J2" s="3"/>
      <c r="K2" s="3"/>
      <c r="L2" s="3"/>
      <c r="M2" s="3"/>
      <c r="N2" s="3"/>
      <c r="O2" s="3"/>
    </row>
    <row r="3" spans="1:15" ht="21">
      <c r="A3" s="2"/>
      <c r="B3" s="6"/>
      <c r="C3" s="42" t="s">
        <v>115</v>
      </c>
      <c r="D3" s="36"/>
      <c r="E3" s="36"/>
      <c r="F3" s="36"/>
      <c r="G3" s="37"/>
      <c r="H3" s="12"/>
      <c r="I3" s="3"/>
      <c r="J3" s="106" t="s">
        <v>120</v>
      </c>
      <c r="K3" s="3"/>
      <c r="L3" s="3"/>
      <c r="M3" s="3"/>
      <c r="N3" s="3"/>
      <c r="O3" s="3"/>
    </row>
    <row r="4" spans="1:15" ht="18">
      <c r="A4" s="2"/>
      <c r="B4" s="6"/>
      <c r="C4" s="7"/>
      <c r="D4" s="7"/>
      <c r="E4" s="7"/>
      <c r="F4" s="7"/>
      <c r="G4" s="7"/>
      <c r="H4" s="12"/>
      <c r="I4" s="3"/>
      <c r="J4" s="55"/>
      <c r="K4" s="107" t="s">
        <v>121</v>
      </c>
      <c r="L4" s="3"/>
      <c r="M4" s="3"/>
      <c r="N4" s="3"/>
      <c r="O4" s="3"/>
    </row>
    <row r="5" spans="1:15" ht="18">
      <c r="A5" s="2"/>
      <c r="B5" s="6"/>
      <c r="C5" s="38" t="s">
        <v>29</v>
      </c>
      <c r="D5" s="39"/>
      <c r="E5" s="39"/>
      <c r="F5" s="7"/>
      <c r="G5" s="38" t="s">
        <v>132</v>
      </c>
      <c r="H5" s="12"/>
      <c r="I5" s="3"/>
      <c r="J5" s="55"/>
      <c r="K5" s="107" t="s">
        <v>122</v>
      </c>
      <c r="L5" s="3"/>
      <c r="M5" s="3"/>
      <c r="N5" s="3"/>
      <c r="O5" s="3"/>
    </row>
    <row r="6" spans="1:15" ht="18.600000000000001" thickBot="1">
      <c r="A6" s="2"/>
      <c r="B6" s="6"/>
      <c r="C6" s="7"/>
      <c r="D6" s="7"/>
      <c r="E6" s="7"/>
      <c r="F6" s="7"/>
      <c r="G6" s="7"/>
      <c r="H6" s="12"/>
      <c r="I6" s="3"/>
      <c r="J6" s="55"/>
      <c r="K6" s="107" t="s">
        <v>123</v>
      </c>
      <c r="L6" s="3"/>
      <c r="M6" s="3"/>
      <c r="N6" s="3"/>
      <c r="O6" s="3"/>
    </row>
    <row r="7" spans="1:15" ht="22.2" thickTop="1" thickBot="1">
      <c r="A7" s="2"/>
      <c r="B7" s="6"/>
      <c r="C7" s="8" t="s">
        <v>89</v>
      </c>
      <c r="D7" s="104" t="s">
        <v>92</v>
      </c>
      <c r="E7" s="82" t="s">
        <v>69</v>
      </c>
      <c r="F7" s="7"/>
      <c r="G7" s="7"/>
      <c r="H7" s="12"/>
      <c r="I7" s="3"/>
      <c r="J7" s="55"/>
      <c r="K7" s="107" t="s">
        <v>124</v>
      </c>
      <c r="L7" s="3"/>
      <c r="M7" s="3"/>
      <c r="N7" s="3"/>
      <c r="O7" s="3"/>
    </row>
    <row r="8" spans="1:15" ht="22.2" customHeight="1" thickTop="1" thickBot="1">
      <c r="A8" s="2"/>
      <c r="B8" s="6"/>
      <c r="C8" s="8" t="s">
        <v>3</v>
      </c>
      <c r="D8" s="104" t="s">
        <v>24</v>
      </c>
      <c r="E8" s="82" t="s">
        <v>69</v>
      </c>
      <c r="F8" s="7"/>
      <c r="G8" s="119" t="s">
        <v>103</v>
      </c>
      <c r="H8" s="12"/>
      <c r="I8" s="3"/>
      <c r="J8" s="55"/>
      <c r="K8" s="107" t="s">
        <v>125</v>
      </c>
      <c r="L8" s="3"/>
      <c r="M8" s="3"/>
      <c r="N8" s="3"/>
      <c r="O8" s="3"/>
    </row>
    <row r="9" spans="1:15" ht="22.2" customHeight="1" thickTop="1" thickBot="1">
      <c r="A9" s="2"/>
      <c r="B9" s="6"/>
      <c r="C9" s="8" t="s">
        <v>52</v>
      </c>
      <c r="D9" s="104" t="s">
        <v>96</v>
      </c>
      <c r="E9" s="82" t="s">
        <v>69</v>
      </c>
      <c r="F9" s="7"/>
      <c r="G9" s="236">
        <f>(Rental_Sale_Price-Total_Project_Costs)/Total_Project_Costs</f>
        <v>0.25</v>
      </c>
      <c r="H9" s="12"/>
      <c r="I9" s="3"/>
      <c r="J9" s="55"/>
      <c r="K9" s="3"/>
      <c r="L9" s="3"/>
      <c r="M9" s="3"/>
      <c r="N9" s="3"/>
      <c r="O9" s="3"/>
    </row>
    <row r="10" spans="1:15" ht="21.6" thickTop="1">
      <c r="A10" s="2"/>
      <c r="B10" s="6"/>
      <c r="C10" s="7"/>
      <c r="D10" s="105"/>
      <c r="E10" s="7"/>
      <c r="F10" s="7"/>
      <c r="G10" s="237"/>
      <c r="H10" s="12"/>
      <c r="I10" s="3"/>
      <c r="J10" s="55"/>
      <c r="K10" s="3"/>
      <c r="L10" s="3"/>
      <c r="M10" s="3"/>
      <c r="N10" s="3"/>
      <c r="O10" s="3"/>
    </row>
    <row r="11" spans="1:15" ht="21.6" thickBot="1">
      <c r="A11" s="2"/>
      <c r="B11" s="6"/>
      <c r="C11" s="10" t="s">
        <v>53</v>
      </c>
      <c r="D11" s="116">
        <v>100</v>
      </c>
      <c r="E11" s="82" t="s">
        <v>70</v>
      </c>
      <c r="F11" s="7"/>
      <c r="G11" s="120" t="str">
        <f>IF(G9="TBD","",IF(G9&gt;=ModelInputs!C13,"Likely Feasible",IF(AND(G9&lt;ModelInputs!C13,G9&gt;=ModelInputs!C14),"Possibly Feasible","Unlikely Feasibility")))</f>
        <v>Likely Feasible</v>
      </c>
      <c r="H11" s="12"/>
      <c r="I11" s="3"/>
      <c r="J11" s="3"/>
      <c r="K11" s="3"/>
      <c r="L11" s="3"/>
      <c r="M11" s="3"/>
      <c r="N11" s="3"/>
      <c r="O11" s="3"/>
    </row>
    <row r="12" spans="1:15" ht="15" thickBot="1">
      <c r="A12" s="2"/>
      <c r="B12" s="6"/>
      <c r="C12" s="7"/>
      <c r="D12" s="7"/>
      <c r="E12" s="7"/>
      <c r="F12" s="7"/>
      <c r="G12" s="7"/>
      <c r="H12" s="12"/>
      <c r="I12" s="3"/>
      <c r="J12" s="3"/>
      <c r="K12" s="3"/>
      <c r="L12" s="3"/>
      <c r="M12" s="3"/>
      <c r="N12" s="3"/>
      <c r="O12" s="3"/>
    </row>
    <row r="13" spans="1:15" ht="22.2" thickTop="1" thickBot="1">
      <c r="A13" s="2"/>
      <c r="B13" s="6"/>
      <c r="C13" s="85" t="s">
        <v>91</v>
      </c>
      <c r="D13" s="114">
        <v>0.6</v>
      </c>
      <c r="E13" s="82" t="s">
        <v>69</v>
      </c>
      <c r="F13" s="7"/>
      <c r="G13" s="7"/>
      <c r="H13" s="12"/>
      <c r="I13" s="3"/>
      <c r="J13" s="3"/>
      <c r="K13" s="3"/>
      <c r="L13" s="3"/>
      <c r="M13" s="3"/>
      <c r="N13" s="3"/>
      <c r="O13" s="3"/>
    </row>
    <row r="14" spans="1:15" ht="22.2" thickTop="1" thickBot="1">
      <c r="A14" s="2"/>
      <c r="B14" s="6"/>
      <c r="C14" s="96" t="s">
        <v>30</v>
      </c>
      <c r="D14" s="115">
        <v>0</v>
      </c>
      <c r="E14" s="82" t="s">
        <v>70</v>
      </c>
      <c r="F14" s="7"/>
      <c r="G14" s="7"/>
      <c r="H14" s="12"/>
      <c r="I14" s="3"/>
      <c r="J14" s="3"/>
      <c r="K14" s="3"/>
      <c r="L14" s="3"/>
      <c r="M14" s="3"/>
      <c r="N14" s="3"/>
      <c r="O14" s="3"/>
    </row>
    <row r="15" spans="1:15" ht="21">
      <c r="A15" s="2"/>
      <c r="B15" s="6"/>
      <c r="C15" s="82"/>
      <c r="D15" s="130"/>
      <c r="E15" s="82"/>
      <c r="F15" s="7"/>
      <c r="G15" s="7"/>
      <c r="H15" s="12"/>
      <c r="I15" s="3"/>
      <c r="J15" s="3"/>
      <c r="K15" s="3"/>
      <c r="L15" s="3"/>
      <c r="M15" s="3"/>
      <c r="N15" s="3"/>
      <c r="O15" s="3"/>
    </row>
    <row r="16" spans="1:15" ht="21">
      <c r="A16" s="2"/>
      <c r="B16" s="6"/>
      <c r="C16" s="85" t="s">
        <v>66</v>
      </c>
      <c r="D16" s="116">
        <f>Total_Units-D18</f>
        <v>100</v>
      </c>
      <c r="E16" s="82"/>
      <c r="F16" s="7"/>
      <c r="G16" s="7"/>
      <c r="H16" s="12"/>
      <c r="I16" s="3"/>
      <c r="J16" s="3"/>
      <c r="K16" s="3"/>
      <c r="L16" s="3"/>
      <c r="M16" s="3"/>
      <c r="N16" s="3"/>
      <c r="O16" s="3"/>
    </row>
    <row r="17" spans="1:15" ht="21">
      <c r="A17" s="2"/>
      <c r="B17" s="6"/>
      <c r="C17" s="153" t="s">
        <v>165</v>
      </c>
      <c r="D17" s="154" cm="1">
        <f t="array" ref="D17">IF(Price_Land_Context="Lower Priced",_xlfn.XLOOKUP(D7,ModelInputs!B57:B61,_xlfn.XLOOKUP(Building_Type,ModelInputs!C56:F56,ModelInputs!C57:F61)),IF(Price_Land_Context="Higher Priced",_xlfn.XLOOKUP(D7,ModelInputs!B64:B68,_xlfn.XLOOKUP(Building_Type,ModelInputs!C63:F63,ModelInputs!C64:F68)),0))</f>
        <v>450000</v>
      </c>
      <c r="E17" s="82"/>
      <c r="F17" s="7"/>
      <c r="G17" s="7"/>
      <c r="H17" s="12"/>
      <c r="I17" s="3"/>
      <c r="J17" s="3"/>
      <c r="K17" s="3"/>
      <c r="L17" s="3"/>
      <c r="M17" s="3"/>
      <c r="N17" s="3"/>
      <c r="O17" s="3"/>
    </row>
    <row r="18" spans="1:15" ht="21">
      <c r="A18" s="2"/>
      <c r="B18" s="6"/>
      <c r="C18" s="153" t="s">
        <v>28</v>
      </c>
      <c r="D18" s="156">
        <f>Total_Units*D14</f>
        <v>0</v>
      </c>
      <c r="E18" s="7"/>
      <c r="F18" s="7"/>
      <c r="G18" s="7"/>
      <c r="H18" s="12"/>
      <c r="I18" s="3"/>
      <c r="J18" s="3"/>
      <c r="K18" s="3"/>
      <c r="L18" s="3"/>
      <c r="M18" s="3"/>
      <c r="N18" s="3"/>
      <c r="O18" s="3"/>
    </row>
    <row r="19" spans="1:15" ht="21">
      <c r="A19" s="2"/>
      <c r="B19" s="6"/>
      <c r="C19" s="117" t="s">
        <v>166</v>
      </c>
      <c r="D19" s="155">
        <f>_xlfn.XLOOKUP(D7,ModelInputs!B71:B75,ModelInputs!C71:C75)*'Module 2'!D13*3</f>
        <v>234000</v>
      </c>
      <c r="E19" s="7"/>
      <c r="F19" s="7"/>
      <c r="G19" s="7"/>
      <c r="H19" s="12"/>
      <c r="I19" s="3"/>
      <c r="J19" s="3"/>
      <c r="K19" s="3"/>
      <c r="L19" s="3"/>
      <c r="M19" s="3"/>
      <c r="N19" s="3"/>
      <c r="O19" s="3"/>
    </row>
    <row r="20" spans="1:15">
      <c r="A20" s="2"/>
      <c r="B20" s="6"/>
      <c r="C20" s="7"/>
      <c r="D20" s="7"/>
      <c r="E20" s="7"/>
      <c r="F20" s="7"/>
      <c r="G20" s="7"/>
      <c r="H20" s="12"/>
      <c r="I20" s="3"/>
      <c r="J20" s="3"/>
      <c r="K20" s="3"/>
      <c r="L20" s="3"/>
      <c r="M20" s="3"/>
      <c r="N20" s="3"/>
      <c r="O20" s="3"/>
    </row>
    <row r="21" spans="1:15" ht="15.6">
      <c r="A21" s="2"/>
      <c r="B21" s="6"/>
      <c r="C21" s="7"/>
      <c r="D21" s="27"/>
      <c r="E21" s="7"/>
      <c r="F21" s="7"/>
      <c r="G21" s="7"/>
      <c r="H21" s="12"/>
      <c r="I21" s="3"/>
      <c r="J21" s="3"/>
      <c r="K21" s="3"/>
      <c r="L21" s="3"/>
      <c r="M21" s="3"/>
      <c r="N21" s="3"/>
      <c r="O21" s="3"/>
    </row>
    <row r="22" spans="1:15" ht="15.6">
      <c r="A22" s="2"/>
      <c r="B22" s="6"/>
      <c r="C22" s="131"/>
      <c r="D22" s="27"/>
      <c r="E22" s="82"/>
      <c r="F22" s="7"/>
      <c r="G22" s="7"/>
      <c r="H22" s="12"/>
      <c r="I22" s="3"/>
      <c r="J22" s="3"/>
      <c r="K22" s="3"/>
      <c r="L22" s="3"/>
      <c r="M22" s="3"/>
      <c r="N22" s="3"/>
      <c r="O22" s="3"/>
    </row>
    <row r="23" spans="1:15" s="128" customFormat="1" ht="21">
      <c r="A23" s="126"/>
      <c r="B23" s="127"/>
      <c r="C23" s="132" t="s">
        <v>54</v>
      </c>
      <c r="D23" s="148"/>
      <c r="E23" s="148"/>
      <c r="F23" s="148"/>
      <c r="G23" s="148"/>
      <c r="H23" s="138"/>
    </row>
    <row r="24" spans="1:15">
      <c r="A24" s="2"/>
      <c r="B24" s="6"/>
      <c r="C24" s="7"/>
      <c r="D24" s="7"/>
      <c r="E24" s="7"/>
      <c r="F24" s="7"/>
      <c r="G24" s="7"/>
      <c r="H24" s="12"/>
      <c r="I24" s="3"/>
      <c r="J24" s="3"/>
      <c r="K24" s="3"/>
      <c r="L24" s="3"/>
      <c r="M24" s="3"/>
      <c r="N24" s="3"/>
      <c r="O24" s="3"/>
    </row>
    <row r="25" spans="1:15" ht="16.95" customHeight="1">
      <c r="A25" s="2"/>
      <c r="B25" s="6"/>
      <c r="C25" s="7"/>
      <c r="D25" s="9"/>
      <c r="E25" s="9"/>
      <c r="F25" s="9"/>
      <c r="G25" s="9"/>
      <c r="H25" s="139"/>
      <c r="I25" s="3"/>
      <c r="J25" s="3"/>
      <c r="K25" s="3"/>
      <c r="L25" s="3"/>
      <c r="M25" s="3"/>
      <c r="N25" s="3"/>
      <c r="O25" s="3"/>
    </row>
    <row r="26" spans="1:15" s="124" customFormat="1" ht="18">
      <c r="A26" s="122"/>
      <c r="B26" s="123"/>
      <c r="C26" s="134" t="s">
        <v>68</v>
      </c>
      <c r="D26" s="125">
        <f>Total_Units*IF(Total_Units&gt;50,_xlfn.XLOOKUP(Building_Type,ModelInputs!B29:B32,ModelInputs!D29:D32),_xlfn.XLOOKUP(Building_Type,ModelInputs!B29:B32,ModelInputs!C29:C32))</f>
        <v>2000000</v>
      </c>
      <c r="E26" s="135"/>
      <c r="F26" s="135"/>
      <c r="G26" s="135"/>
      <c r="H26" s="140"/>
    </row>
    <row r="27" spans="1:15" s="124" customFormat="1" ht="18">
      <c r="A27" s="122"/>
      <c r="B27" s="123"/>
      <c r="C27" s="134" t="s">
        <v>67</v>
      </c>
      <c r="D27" s="125" cm="1">
        <f t="array" ref="D27">Total_Units*_xlfn.XLOOKUP(Building_Type,ModelInputs!B37:B40,_xlfn.XLOOKUP(Price_Land_Context,ModelInputs!C36:D36,ModelInputs!C37:D40))</f>
        <v>30000000</v>
      </c>
      <c r="E27" s="135"/>
      <c r="F27" s="135"/>
      <c r="G27" s="135"/>
      <c r="H27" s="140"/>
    </row>
    <row r="28" spans="1:15" s="124" customFormat="1" ht="18">
      <c r="A28" s="122"/>
      <c r="B28" s="123"/>
      <c r="C28" s="134" t="s">
        <v>6</v>
      </c>
      <c r="D28" s="125" cm="1">
        <f t="array" ref="D28">Total_Units*_xlfn.XLOOKUP(Building_Type,ModelInputs!C19:F19,_xlfn.XLOOKUP(D7,ModelInputs!B20:B24,ModelInputs!C20:F24))</f>
        <v>4000000</v>
      </c>
      <c r="E28" s="135"/>
      <c r="F28" s="135"/>
      <c r="G28" s="135"/>
      <c r="H28" s="140"/>
    </row>
    <row r="29" spans="1:15" s="124" customFormat="1" ht="18">
      <c r="A29" s="122"/>
      <c r="B29" s="123"/>
      <c r="C29" s="134" t="s">
        <v>7</v>
      </c>
      <c r="D29" s="125">
        <f>(SUM(D26:D28))</f>
        <v>36000000</v>
      </c>
      <c r="E29" s="135"/>
      <c r="F29" s="135"/>
      <c r="G29" s="135"/>
      <c r="H29" s="140"/>
    </row>
    <row r="30" spans="1:15" s="124" customFormat="1" ht="18">
      <c r="A30" s="122"/>
      <c r="B30" s="123"/>
      <c r="C30" s="113"/>
      <c r="D30" s="113"/>
      <c r="E30" s="113"/>
      <c r="F30" s="113"/>
      <c r="G30" s="113"/>
      <c r="H30" s="133"/>
    </row>
    <row r="31" spans="1:15" s="124" customFormat="1" ht="18">
      <c r="A31" s="122"/>
      <c r="B31" s="123"/>
      <c r="C31" s="134" t="s">
        <v>74</v>
      </c>
      <c r="D31" s="125">
        <f>D29/Total_Units</f>
        <v>360000</v>
      </c>
      <c r="E31" s="136"/>
      <c r="F31" s="136"/>
      <c r="G31" s="136"/>
      <c r="H31" s="141"/>
    </row>
    <row r="32" spans="1:15" s="124" customFormat="1" ht="18">
      <c r="A32" s="122"/>
      <c r="B32" s="123"/>
      <c r="C32" s="113"/>
      <c r="D32" s="113"/>
      <c r="E32" s="113"/>
      <c r="F32" s="113"/>
      <c r="G32" s="113"/>
      <c r="H32" s="133"/>
    </row>
    <row r="33" spans="1:15" s="124" customFormat="1" ht="18">
      <c r="A33" s="122"/>
      <c r="B33" s="123"/>
      <c r="C33" s="134" t="s">
        <v>18</v>
      </c>
      <c r="D33" s="125">
        <f>D16*D17+D18*D19</f>
        <v>45000000</v>
      </c>
      <c r="E33" s="135"/>
      <c r="F33" s="135"/>
      <c r="G33" s="135"/>
      <c r="H33" s="140"/>
    </row>
    <row r="34" spans="1:15">
      <c r="A34" s="2"/>
      <c r="B34" s="6"/>
      <c r="C34" s="10"/>
      <c r="D34" s="10"/>
      <c r="E34" s="10"/>
      <c r="F34" s="10"/>
      <c r="G34" s="10"/>
      <c r="H34" s="142"/>
      <c r="I34" s="3"/>
      <c r="J34" s="3"/>
      <c r="K34" s="3"/>
      <c r="L34" s="3"/>
      <c r="M34" s="3"/>
      <c r="N34" s="3"/>
      <c r="O34" s="3"/>
    </row>
    <row r="35" spans="1:15" ht="15.6">
      <c r="A35" s="2"/>
      <c r="B35" s="6"/>
      <c r="C35" s="84"/>
      <c r="D35" s="27"/>
      <c r="E35" s="82"/>
      <c r="F35" s="82"/>
      <c r="G35" s="82"/>
      <c r="H35" s="137"/>
      <c r="I35" s="3"/>
      <c r="J35" s="3"/>
      <c r="K35" s="3"/>
      <c r="L35" s="3"/>
      <c r="M35" s="3"/>
      <c r="N35" s="3"/>
      <c r="O35" s="3"/>
    </row>
    <row r="36" spans="1:15" ht="16.2" thickBot="1">
      <c r="A36" s="2"/>
      <c r="B36" s="147"/>
      <c r="C36" s="149"/>
      <c r="D36" s="150"/>
      <c r="E36" s="151"/>
      <c r="F36" s="151"/>
      <c r="G36" s="151"/>
      <c r="H36" s="152"/>
      <c r="I36" s="3"/>
      <c r="J36" s="3"/>
      <c r="K36" s="3"/>
      <c r="L36" s="3"/>
      <c r="M36" s="3"/>
      <c r="N36" s="3"/>
      <c r="O36" s="3"/>
    </row>
    <row r="37" spans="1:15" s="128" customFormat="1" ht="21">
      <c r="A37" s="126"/>
      <c r="B37"/>
      <c r="C37"/>
      <c r="D37"/>
      <c r="E37"/>
      <c r="F37"/>
      <c r="G37"/>
      <c r="H37"/>
    </row>
    <row r="38" spans="1:15">
      <c r="A38" s="2"/>
      <c r="B38"/>
      <c r="C38"/>
      <c r="D38"/>
      <c r="E38"/>
      <c r="F38"/>
      <c r="G38"/>
      <c r="H38"/>
      <c r="I38" s="3"/>
      <c r="J38" s="3"/>
      <c r="K38" s="3"/>
      <c r="L38" s="3"/>
      <c r="M38" s="3"/>
      <c r="N38" s="3"/>
      <c r="O38" s="3"/>
    </row>
    <row r="39" spans="1:15">
      <c r="A39" s="2"/>
      <c r="B39"/>
      <c r="C39"/>
      <c r="D39"/>
      <c r="E39"/>
      <c r="F39"/>
      <c r="G39"/>
      <c r="H39"/>
      <c r="I39" s="3"/>
      <c r="J39" s="3"/>
      <c r="K39" s="3"/>
      <c r="L39" s="3"/>
      <c r="M39" s="3"/>
      <c r="N39" s="3"/>
      <c r="O39" s="3"/>
    </row>
    <row r="40" spans="1:15" s="124" customFormat="1" ht="18">
      <c r="A40" s="122"/>
      <c r="B40" t="s">
        <v>157</v>
      </c>
      <c r="C40"/>
      <c r="D40"/>
      <c r="E40"/>
      <c r="F40"/>
      <c r="G40"/>
      <c r="H40"/>
    </row>
    <row r="41" spans="1:15" s="124" customFormat="1" ht="18">
      <c r="A41" s="122"/>
      <c r="B41"/>
      <c r="C41"/>
      <c r="D41"/>
      <c r="E41"/>
      <c r="F41"/>
      <c r="G41"/>
      <c r="H41"/>
    </row>
    <row r="42" spans="1:15" s="124" customFormat="1" ht="18">
      <c r="A42" s="122"/>
      <c r="B42"/>
      <c r="C42"/>
      <c r="D42"/>
      <c r="E42"/>
      <c r="F42"/>
      <c r="G42"/>
      <c r="H42"/>
    </row>
    <row r="43" spans="1:15" s="124" customFormat="1" ht="18">
      <c r="A43" s="122"/>
      <c r="B43"/>
      <c r="C43"/>
      <c r="D43"/>
      <c r="E43"/>
      <c r="F43"/>
      <c r="G43"/>
      <c r="H43"/>
    </row>
    <row r="44" spans="1:15" s="124" customFormat="1" ht="18">
      <c r="A44" s="122"/>
      <c r="B44"/>
      <c r="C44"/>
      <c r="D44"/>
      <c r="E44"/>
      <c r="F44"/>
      <c r="G44"/>
      <c r="H44"/>
    </row>
    <row r="45" spans="1:15" s="124" customFormat="1" ht="18">
      <c r="A45" s="122"/>
      <c r="B45"/>
      <c r="C45"/>
      <c r="D45"/>
      <c r="E45"/>
      <c r="F45"/>
      <c r="G45"/>
      <c r="H45"/>
    </row>
    <row r="46" spans="1:15" s="124" customFormat="1" ht="18">
      <c r="A46" s="122"/>
      <c r="B46"/>
      <c r="C46"/>
      <c r="D46"/>
      <c r="E46"/>
      <c r="F46"/>
      <c r="G46"/>
      <c r="H46"/>
    </row>
    <row r="47" spans="1:15" s="124" customFormat="1" ht="18">
      <c r="A47" s="122"/>
      <c r="B47"/>
      <c r="C47"/>
      <c r="D47"/>
      <c r="E47"/>
      <c r="F47"/>
      <c r="G47"/>
      <c r="H47"/>
    </row>
    <row r="48" spans="1:15" s="124" customFormat="1" ht="18">
      <c r="A48" s="122"/>
      <c r="B48"/>
      <c r="C48"/>
      <c r="D48"/>
      <c r="E48"/>
      <c r="F48"/>
      <c r="G48"/>
      <c r="H48"/>
    </row>
    <row r="49" spans="1:15" s="124" customFormat="1" ht="18">
      <c r="A49" s="122"/>
      <c r="B49"/>
      <c r="C49"/>
      <c r="D49"/>
      <c r="E49"/>
      <c r="F49"/>
      <c r="G49"/>
      <c r="H49"/>
    </row>
    <row r="50" spans="1:15" s="124" customFormat="1" ht="18">
      <c r="A50" s="122"/>
      <c r="B50"/>
      <c r="C50"/>
      <c r="D50"/>
      <c r="E50"/>
      <c r="F50"/>
      <c r="G50"/>
      <c r="H50"/>
    </row>
    <row r="51" spans="1:15" s="124" customFormat="1" ht="18">
      <c r="A51" s="122"/>
      <c r="B51"/>
      <c r="C51"/>
      <c r="D51"/>
      <c r="E51"/>
      <c r="F51"/>
      <c r="G51"/>
      <c r="H51"/>
    </row>
    <row r="52" spans="1:15" s="124" customFormat="1" ht="18">
      <c r="A52" s="122"/>
      <c r="B52"/>
      <c r="C52"/>
      <c r="D52"/>
      <c r="E52"/>
      <c r="F52"/>
      <c r="G52"/>
      <c r="H52"/>
    </row>
    <row r="53" spans="1:15">
      <c r="A53"/>
      <c r="B53"/>
      <c r="C53"/>
      <c r="D53"/>
      <c r="E53"/>
      <c r="F53"/>
      <c r="G53"/>
      <c r="H53"/>
      <c r="J53" s="3"/>
      <c r="K53" s="3"/>
      <c r="L53" s="3"/>
      <c r="M53" s="3"/>
      <c r="N53" s="3"/>
      <c r="O53" s="3"/>
    </row>
    <row r="54" spans="1:15">
      <c r="A54"/>
      <c r="B54"/>
      <c r="C54"/>
      <c r="D54"/>
      <c r="E54"/>
      <c r="F54"/>
      <c r="G54"/>
      <c r="H54"/>
      <c r="J54" s="3"/>
      <c r="K54" s="3"/>
      <c r="L54" s="3"/>
      <c r="M54" s="3"/>
      <c r="N54" s="3"/>
      <c r="O54" s="3"/>
    </row>
    <row r="55" spans="1:15">
      <c r="A55"/>
      <c r="B55"/>
      <c r="C55"/>
      <c r="D55"/>
      <c r="E55"/>
      <c r="F55"/>
      <c r="G55"/>
      <c r="H55"/>
      <c r="J55" s="3"/>
      <c r="K55" s="3"/>
      <c r="L55" s="3"/>
      <c r="M55" s="3"/>
      <c r="N55" s="3"/>
      <c r="O55" s="3"/>
    </row>
    <row r="56" spans="1:15" customFormat="1"/>
    <row r="57" spans="1:15" customFormat="1"/>
    <row r="58" spans="1:15" customFormat="1"/>
    <row r="59" spans="1:15" customFormat="1"/>
    <row r="60" spans="1:15" customFormat="1"/>
    <row r="61" spans="1:15" customFormat="1"/>
    <row r="62" spans="1:15" customFormat="1"/>
    <row r="63" spans="1:15" customFormat="1"/>
    <row r="64" spans="1:15" customFormat="1"/>
    <row r="65" customFormat="1"/>
    <row r="66" customFormat="1"/>
    <row r="67" customFormat="1"/>
    <row r="68" customFormat="1"/>
    <row r="69" customFormat="1"/>
    <row r="70" customFormat="1"/>
    <row r="71" customFormat="1"/>
    <row r="72" customFormat="1"/>
    <row r="73" customFormat="1"/>
    <row r="74" customFormat="1"/>
    <row r="75" customFormat="1"/>
    <row r="76" customFormat="1"/>
    <row r="77" customFormat="1"/>
    <row r="78" customFormat="1"/>
    <row r="79" customFormat="1"/>
    <row r="80" customFormat="1"/>
    <row r="81" customFormat="1"/>
    <row r="82" customFormat="1"/>
    <row r="83" customFormat="1"/>
    <row r="84" customFormat="1"/>
    <row r="85" customFormat="1"/>
    <row r="86" customFormat="1"/>
    <row r="87" customFormat="1"/>
    <row r="88" customFormat="1"/>
    <row r="89" customFormat="1"/>
    <row r="90" customFormat="1"/>
    <row r="91" customFormat="1"/>
    <row r="92" customFormat="1"/>
    <row r="93" customFormat="1"/>
    <row r="94" customFormat="1"/>
    <row r="95" customFormat="1"/>
    <row r="96" customFormat="1"/>
    <row r="97" customFormat="1"/>
    <row r="98" customFormat="1"/>
    <row r="99" customFormat="1"/>
    <row r="100" customFormat="1"/>
    <row r="101" customFormat="1"/>
    <row r="102" customFormat="1"/>
    <row r="103" customFormat="1"/>
    <row r="104" customFormat="1"/>
    <row r="105" customFormat="1"/>
    <row r="106" customFormat="1"/>
    <row r="107" customFormat="1"/>
    <row r="108" customFormat="1"/>
    <row r="109" customFormat="1"/>
    <row r="110" customFormat="1"/>
    <row r="111" customFormat="1"/>
    <row r="112" customFormat="1"/>
    <row r="113" customFormat="1"/>
    <row r="114" customFormat="1"/>
    <row r="115" customFormat="1"/>
    <row r="116" customFormat="1"/>
    <row r="117" customFormat="1"/>
    <row r="118" customFormat="1"/>
    <row r="119" customFormat="1"/>
    <row r="120" customFormat="1"/>
    <row r="121" customFormat="1"/>
    <row r="122" customFormat="1"/>
    <row r="123" customFormat="1"/>
    <row r="124" customFormat="1"/>
    <row r="125" customFormat="1"/>
    <row r="126" customFormat="1"/>
    <row r="127" customFormat="1"/>
    <row r="128" customFormat="1"/>
    <row r="129" customFormat="1"/>
    <row r="130" customFormat="1"/>
    <row r="131" customFormat="1"/>
    <row r="132" customFormat="1"/>
    <row r="133" customFormat="1"/>
    <row r="134" customFormat="1"/>
    <row r="135" customFormat="1"/>
    <row r="136" customFormat="1"/>
    <row r="137" customFormat="1"/>
    <row r="138" customFormat="1"/>
    <row r="139" customFormat="1"/>
    <row r="140" customFormat="1"/>
    <row r="141" customFormat="1"/>
    <row r="142" customFormat="1"/>
    <row r="143" customFormat="1"/>
    <row r="144" customFormat="1"/>
    <row r="145" customFormat="1"/>
    <row r="146" customFormat="1"/>
    <row r="147" customFormat="1"/>
    <row r="148" customFormat="1"/>
    <row r="149" customFormat="1"/>
    <row r="150" customFormat="1"/>
    <row r="151" customFormat="1"/>
    <row r="152" customFormat="1"/>
    <row r="153" customFormat="1"/>
    <row r="154" customFormat="1"/>
    <row r="155" customFormat="1"/>
    <row r="156" customFormat="1"/>
    <row r="157" customFormat="1"/>
    <row r="158" customFormat="1"/>
    <row r="159" customFormat="1"/>
    <row r="160" customFormat="1"/>
    <row r="161" customFormat="1"/>
    <row r="162" customFormat="1"/>
    <row r="163" customFormat="1"/>
    <row r="164" customFormat="1"/>
    <row r="165" customFormat="1"/>
    <row r="166" customFormat="1"/>
    <row r="167" customFormat="1"/>
    <row r="168" customFormat="1"/>
    <row r="169" customFormat="1"/>
    <row r="170" customFormat="1"/>
    <row r="171" customFormat="1"/>
    <row r="172" customFormat="1"/>
    <row r="173" customFormat="1"/>
    <row r="174" customFormat="1"/>
    <row r="175" customFormat="1"/>
    <row r="176" customFormat="1"/>
    <row r="177" customFormat="1"/>
    <row r="178" customFormat="1"/>
    <row r="179" customFormat="1"/>
    <row r="180" customFormat="1"/>
    <row r="181" customFormat="1"/>
    <row r="182" customFormat="1"/>
    <row r="183" customFormat="1"/>
    <row r="184" customFormat="1"/>
    <row r="185" customFormat="1"/>
    <row r="186" customFormat="1"/>
    <row r="187" customFormat="1"/>
    <row r="188" customFormat="1"/>
    <row r="189" customFormat="1"/>
    <row r="190" customFormat="1"/>
    <row r="191" customFormat="1"/>
    <row r="192" customFormat="1"/>
    <row r="193" customFormat="1"/>
    <row r="194" customFormat="1"/>
    <row r="195" customFormat="1"/>
    <row r="196" customFormat="1"/>
    <row r="197" customFormat="1"/>
    <row r="198" customFormat="1"/>
    <row r="199" customFormat="1"/>
    <row r="200" customFormat="1"/>
    <row r="201" customFormat="1"/>
    <row r="202" customFormat="1"/>
    <row r="203" customFormat="1"/>
    <row r="204" customFormat="1"/>
    <row r="205" customFormat="1"/>
    <row r="206" customFormat="1"/>
    <row r="207" customFormat="1"/>
    <row r="208" customFormat="1"/>
    <row r="209" customFormat="1"/>
    <row r="210" customFormat="1"/>
    <row r="211" customFormat="1"/>
    <row r="212" customFormat="1"/>
    <row r="213" customFormat="1"/>
    <row r="214" customFormat="1"/>
    <row r="215" customFormat="1"/>
    <row r="216" customFormat="1"/>
    <row r="217" customFormat="1"/>
    <row r="218" customFormat="1"/>
    <row r="219" customFormat="1"/>
    <row r="220" customFormat="1"/>
    <row r="221" customFormat="1"/>
    <row r="222" customFormat="1"/>
    <row r="223" customFormat="1"/>
    <row r="224" customFormat="1"/>
    <row r="225" customFormat="1"/>
    <row r="226" customFormat="1"/>
    <row r="227" customFormat="1"/>
    <row r="228" customFormat="1"/>
    <row r="229" customFormat="1"/>
    <row r="230" customFormat="1"/>
    <row r="231" customFormat="1"/>
    <row r="232" customFormat="1"/>
    <row r="233" customFormat="1"/>
    <row r="234" customFormat="1"/>
    <row r="235" customFormat="1"/>
    <row r="236" customFormat="1"/>
    <row r="237" customFormat="1"/>
    <row r="238" customFormat="1"/>
    <row r="239" customFormat="1"/>
    <row r="240" customFormat="1"/>
    <row r="241" customFormat="1"/>
    <row r="242" customFormat="1"/>
    <row r="243" customFormat="1"/>
    <row r="244" customFormat="1"/>
    <row r="245" customFormat="1"/>
    <row r="246" customFormat="1"/>
    <row r="247" customFormat="1"/>
    <row r="248" customFormat="1"/>
    <row r="249" customFormat="1"/>
    <row r="250" customFormat="1"/>
    <row r="251" customFormat="1"/>
    <row r="252" customFormat="1"/>
    <row r="253" customFormat="1"/>
    <row r="254" customFormat="1"/>
    <row r="255" customFormat="1"/>
    <row r="256" customFormat="1"/>
    <row r="257" customFormat="1"/>
    <row r="258" customFormat="1"/>
    <row r="259" customFormat="1"/>
    <row r="260" customFormat="1"/>
    <row r="261" customFormat="1"/>
    <row r="262" customFormat="1"/>
    <row r="263" customFormat="1"/>
    <row r="264" customFormat="1"/>
    <row r="265" customFormat="1"/>
    <row r="266" customFormat="1"/>
    <row r="267" customFormat="1"/>
    <row r="268" customFormat="1"/>
    <row r="269" customFormat="1"/>
    <row r="270" customFormat="1"/>
    <row r="271" customFormat="1"/>
    <row r="272" customFormat="1"/>
    <row r="273" customFormat="1"/>
    <row r="274" customFormat="1"/>
    <row r="275" customFormat="1"/>
    <row r="276" customFormat="1"/>
    <row r="277" customFormat="1"/>
    <row r="278" customFormat="1"/>
    <row r="279" customFormat="1"/>
    <row r="280" customFormat="1"/>
    <row r="281" customFormat="1"/>
    <row r="282" customFormat="1"/>
    <row r="283" customFormat="1"/>
    <row r="284" customFormat="1"/>
    <row r="285" customFormat="1"/>
    <row r="286" customFormat="1"/>
    <row r="287" customFormat="1"/>
    <row r="288" customFormat="1"/>
    <row r="289" customFormat="1"/>
    <row r="290" customFormat="1"/>
    <row r="291" customFormat="1"/>
    <row r="292" customFormat="1"/>
    <row r="293" customFormat="1"/>
    <row r="294" customFormat="1"/>
    <row r="295" customFormat="1"/>
    <row r="296" customFormat="1"/>
    <row r="297" customFormat="1"/>
    <row r="298" customFormat="1"/>
    <row r="299" customFormat="1"/>
    <row r="300" customFormat="1"/>
    <row r="301" customFormat="1"/>
    <row r="302" customFormat="1"/>
    <row r="303" customFormat="1"/>
    <row r="304" customFormat="1"/>
    <row r="305" customFormat="1"/>
    <row r="306" customFormat="1"/>
    <row r="307" customFormat="1"/>
    <row r="308" customFormat="1"/>
    <row r="309" customFormat="1"/>
    <row r="310" customFormat="1"/>
    <row r="311" customFormat="1"/>
    <row r="312" customFormat="1"/>
    <row r="313" customFormat="1"/>
    <row r="314" customFormat="1"/>
    <row r="315" customFormat="1"/>
    <row r="316" customFormat="1"/>
    <row r="317" customFormat="1"/>
    <row r="318" customFormat="1"/>
    <row r="319" customFormat="1"/>
    <row r="320" customFormat="1"/>
    <row r="321" customFormat="1"/>
    <row r="322" customFormat="1"/>
    <row r="323" customFormat="1"/>
    <row r="324" customFormat="1"/>
    <row r="325" customFormat="1"/>
    <row r="326" customFormat="1"/>
    <row r="327" customFormat="1"/>
    <row r="328" customFormat="1"/>
    <row r="329" customFormat="1"/>
    <row r="330" customFormat="1"/>
    <row r="331" customFormat="1"/>
    <row r="332" customFormat="1"/>
    <row r="333" customFormat="1"/>
    <row r="334" customFormat="1"/>
    <row r="335" customFormat="1"/>
    <row r="336" customFormat="1"/>
    <row r="337" customFormat="1"/>
    <row r="338" customFormat="1"/>
    <row r="339" customFormat="1"/>
    <row r="340" customFormat="1"/>
    <row r="341" customFormat="1"/>
    <row r="342" customFormat="1"/>
    <row r="343" customFormat="1"/>
    <row r="344" customFormat="1"/>
    <row r="345" customFormat="1"/>
    <row r="346" customFormat="1"/>
    <row r="347" customFormat="1"/>
    <row r="348" customFormat="1"/>
    <row r="349" customFormat="1"/>
    <row r="350" customFormat="1"/>
    <row r="351" customFormat="1"/>
    <row r="352" customFormat="1"/>
    <row r="353" customFormat="1"/>
    <row r="354" customFormat="1"/>
    <row r="355" customFormat="1"/>
    <row r="356" customFormat="1"/>
    <row r="357" customFormat="1"/>
    <row r="358" customFormat="1"/>
    <row r="359" customFormat="1"/>
    <row r="360" customFormat="1"/>
    <row r="361" customFormat="1"/>
    <row r="362" customFormat="1"/>
    <row r="363" customFormat="1"/>
    <row r="364" customFormat="1"/>
    <row r="365" customFormat="1"/>
    <row r="366" customFormat="1"/>
    <row r="367" customFormat="1"/>
    <row r="368" customFormat="1"/>
    <row r="369" customFormat="1"/>
    <row r="370" customFormat="1"/>
    <row r="371" customFormat="1"/>
    <row r="372" customFormat="1"/>
    <row r="373" customFormat="1"/>
    <row r="374" customFormat="1"/>
    <row r="375" customFormat="1"/>
    <row r="376" customFormat="1"/>
    <row r="377" customFormat="1"/>
    <row r="378" customFormat="1"/>
    <row r="379" customFormat="1"/>
    <row r="380" customFormat="1"/>
    <row r="381" customFormat="1"/>
    <row r="382" customFormat="1"/>
    <row r="383" customFormat="1"/>
    <row r="384" customFormat="1"/>
    <row r="385" customFormat="1"/>
    <row r="386" customFormat="1"/>
    <row r="387" customFormat="1"/>
    <row r="388" customFormat="1"/>
    <row r="389" customFormat="1"/>
    <row r="390" customFormat="1"/>
    <row r="391" customFormat="1"/>
    <row r="392" customFormat="1"/>
    <row r="393" customFormat="1"/>
    <row r="394" customFormat="1"/>
    <row r="395" customFormat="1"/>
    <row r="396" customFormat="1"/>
    <row r="397" customFormat="1"/>
    <row r="398" customFormat="1"/>
    <row r="399" customFormat="1"/>
    <row r="400" customFormat="1"/>
    <row r="401" customFormat="1"/>
    <row r="402" customFormat="1"/>
    <row r="403" customFormat="1"/>
    <row r="404" customFormat="1"/>
    <row r="405" customFormat="1"/>
    <row r="406" customFormat="1"/>
    <row r="407" customFormat="1"/>
    <row r="408" customFormat="1"/>
    <row r="409" customFormat="1"/>
    <row r="410" customFormat="1"/>
    <row r="411" customFormat="1"/>
    <row r="412" customFormat="1"/>
    <row r="413" customFormat="1"/>
    <row r="414" customFormat="1"/>
    <row r="415" customFormat="1"/>
    <row r="416" customFormat="1"/>
    <row r="417" customFormat="1"/>
    <row r="418" customFormat="1"/>
    <row r="419" customFormat="1"/>
    <row r="420" customFormat="1"/>
    <row r="421" customFormat="1"/>
    <row r="422" customFormat="1"/>
    <row r="423" customFormat="1"/>
    <row r="424" customFormat="1"/>
    <row r="425" customFormat="1"/>
    <row r="426" customFormat="1"/>
    <row r="427" customFormat="1"/>
    <row r="428" customFormat="1"/>
    <row r="429" customFormat="1"/>
    <row r="430" customFormat="1"/>
    <row r="431" customFormat="1"/>
    <row r="432" customFormat="1"/>
    <row r="433" customFormat="1"/>
    <row r="434" customFormat="1"/>
    <row r="435" customFormat="1"/>
    <row r="436" customFormat="1"/>
    <row r="437" customFormat="1"/>
    <row r="438" customFormat="1"/>
    <row r="439" customFormat="1"/>
    <row r="440" customFormat="1"/>
    <row r="441" customFormat="1"/>
    <row r="442" customFormat="1"/>
    <row r="443" customFormat="1"/>
    <row r="444" customFormat="1"/>
    <row r="445" customFormat="1"/>
    <row r="446" customFormat="1"/>
    <row r="447" customFormat="1"/>
    <row r="448" customFormat="1"/>
    <row r="449" customFormat="1"/>
    <row r="450" customFormat="1"/>
    <row r="451" customFormat="1"/>
    <row r="452" customFormat="1"/>
    <row r="453" customFormat="1"/>
    <row r="454" customFormat="1"/>
    <row r="455" customFormat="1"/>
    <row r="456" customFormat="1"/>
    <row r="457" customFormat="1"/>
    <row r="458" customFormat="1"/>
    <row r="459" customFormat="1"/>
    <row r="460" customFormat="1"/>
    <row r="461" customFormat="1"/>
    <row r="462" customFormat="1"/>
    <row r="463" customFormat="1"/>
    <row r="464" customFormat="1"/>
    <row r="465" customFormat="1"/>
    <row r="466" customFormat="1"/>
    <row r="467" customFormat="1"/>
    <row r="468" customFormat="1"/>
    <row r="469" customFormat="1"/>
    <row r="470" customFormat="1"/>
    <row r="471" customFormat="1"/>
    <row r="472" customFormat="1"/>
    <row r="473" customFormat="1"/>
    <row r="474" customFormat="1"/>
    <row r="475" customFormat="1"/>
    <row r="476" customFormat="1"/>
    <row r="477" customFormat="1"/>
    <row r="478" customFormat="1"/>
    <row r="479" customFormat="1"/>
    <row r="480" customFormat="1"/>
    <row r="481" customFormat="1"/>
    <row r="482" customFormat="1"/>
    <row r="483" customFormat="1"/>
    <row r="484" customFormat="1"/>
    <row r="485" customFormat="1"/>
    <row r="486" customFormat="1"/>
    <row r="487" customFormat="1"/>
    <row r="488" customFormat="1"/>
    <row r="489" customFormat="1"/>
    <row r="490" customFormat="1"/>
    <row r="491" customFormat="1"/>
    <row r="492" customFormat="1"/>
    <row r="493" customFormat="1"/>
    <row r="494" customFormat="1"/>
    <row r="495" customFormat="1"/>
    <row r="496" customFormat="1"/>
    <row r="497" customFormat="1"/>
    <row r="498" customFormat="1"/>
    <row r="499" customFormat="1"/>
    <row r="500" customFormat="1"/>
    <row r="501" customFormat="1"/>
    <row r="502" customFormat="1"/>
    <row r="503" customFormat="1"/>
    <row r="504" customFormat="1"/>
    <row r="505" customFormat="1"/>
    <row r="506" customFormat="1"/>
    <row r="507" customFormat="1"/>
    <row r="508" customFormat="1"/>
    <row r="509" customFormat="1"/>
    <row r="510" customFormat="1"/>
    <row r="511" customFormat="1"/>
    <row r="512" customFormat="1"/>
    <row r="513" customFormat="1"/>
    <row r="514" customFormat="1"/>
    <row r="515" customFormat="1"/>
    <row r="516" customFormat="1"/>
    <row r="517" customFormat="1"/>
    <row r="518" customFormat="1"/>
    <row r="519" customFormat="1"/>
    <row r="520" customFormat="1"/>
    <row r="521" customFormat="1"/>
    <row r="522" customFormat="1"/>
    <row r="523" customFormat="1"/>
    <row r="524" customFormat="1"/>
    <row r="525" customFormat="1"/>
    <row r="526" customFormat="1"/>
    <row r="527" customFormat="1"/>
    <row r="528" customFormat="1"/>
    <row r="529" customFormat="1"/>
    <row r="530" customFormat="1"/>
    <row r="531" customFormat="1"/>
    <row r="532" customFormat="1"/>
    <row r="533" customFormat="1"/>
    <row r="534" customFormat="1"/>
    <row r="535" customFormat="1"/>
    <row r="536" customFormat="1"/>
    <row r="537" customFormat="1"/>
    <row r="538" customFormat="1"/>
    <row r="539" customFormat="1"/>
    <row r="540" customFormat="1"/>
    <row r="541" customFormat="1"/>
    <row r="542" customFormat="1"/>
    <row r="543" customFormat="1"/>
    <row r="544" customFormat="1"/>
    <row r="545" customFormat="1"/>
    <row r="546" customFormat="1"/>
    <row r="547" customFormat="1"/>
    <row r="548" customFormat="1"/>
    <row r="549" customFormat="1"/>
    <row r="550" customFormat="1"/>
    <row r="551" customFormat="1"/>
    <row r="552" customFormat="1"/>
    <row r="553" customFormat="1"/>
    <row r="554" customFormat="1"/>
    <row r="555" customFormat="1"/>
    <row r="556" customFormat="1"/>
    <row r="557" customFormat="1"/>
    <row r="558" customFormat="1"/>
    <row r="559" customFormat="1"/>
    <row r="560" customFormat="1"/>
    <row r="561" customFormat="1"/>
    <row r="562" customFormat="1"/>
    <row r="563" customFormat="1"/>
    <row r="564" customFormat="1"/>
    <row r="565" customFormat="1"/>
    <row r="566" customFormat="1"/>
    <row r="567" customFormat="1"/>
    <row r="568" customFormat="1"/>
    <row r="569" customFormat="1"/>
    <row r="570" customFormat="1"/>
    <row r="571" customFormat="1"/>
    <row r="572" customFormat="1"/>
    <row r="573" customFormat="1"/>
    <row r="574" customFormat="1"/>
    <row r="575" customFormat="1"/>
    <row r="576" customFormat="1"/>
    <row r="577" customFormat="1"/>
    <row r="578" customFormat="1"/>
    <row r="579" customFormat="1"/>
    <row r="580" customFormat="1"/>
    <row r="581" customFormat="1"/>
    <row r="582" customFormat="1"/>
    <row r="583" customFormat="1"/>
    <row r="584" customFormat="1"/>
    <row r="585" customFormat="1"/>
    <row r="586" customFormat="1"/>
    <row r="587" customFormat="1"/>
    <row r="588" customFormat="1"/>
    <row r="589" customFormat="1"/>
    <row r="590" customFormat="1"/>
    <row r="591" customFormat="1"/>
    <row r="592" customFormat="1"/>
    <row r="593" customFormat="1"/>
    <row r="594" customFormat="1"/>
    <row r="595" customFormat="1"/>
    <row r="596" customFormat="1"/>
    <row r="597" customFormat="1"/>
    <row r="598" customFormat="1"/>
    <row r="599" customFormat="1"/>
    <row r="600" customFormat="1"/>
    <row r="601" customFormat="1"/>
    <row r="602" customFormat="1"/>
    <row r="603" customFormat="1"/>
    <row r="604" customFormat="1"/>
    <row r="605" customFormat="1"/>
    <row r="606" customFormat="1"/>
    <row r="607" customFormat="1"/>
    <row r="608" customFormat="1"/>
    <row r="609" customFormat="1"/>
    <row r="610" customFormat="1"/>
    <row r="611" customFormat="1"/>
    <row r="612" customFormat="1"/>
    <row r="613" customFormat="1"/>
    <row r="614" customFormat="1"/>
    <row r="615" customFormat="1"/>
    <row r="616" customFormat="1"/>
    <row r="617" customFormat="1"/>
    <row r="618" customFormat="1"/>
    <row r="619" customFormat="1"/>
    <row r="620" customFormat="1"/>
    <row r="621" customFormat="1"/>
    <row r="622" customFormat="1"/>
    <row r="623" customFormat="1"/>
    <row r="624" customFormat="1"/>
    <row r="625" customFormat="1"/>
    <row r="626" customFormat="1"/>
    <row r="627" customFormat="1"/>
    <row r="628" customFormat="1"/>
    <row r="629" customFormat="1"/>
    <row r="630" customFormat="1"/>
    <row r="631" customFormat="1"/>
    <row r="632" customFormat="1"/>
    <row r="633" customFormat="1"/>
    <row r="634" customFormat="1"/>
    <row r="635" customFormat="1"/>
    <row r="636" customFormat="1"/>
    <row r="637" customFormat="1"/>
    <row r="638" customFormat="1"/>
    <row r="639" customFormat="1"/>
    <row r="640" customFormat="1"/>
    <row r="641" customFormat="1"/>
    <row r="642" customFormat="1"/>
    <row r="643" customFormat="1"/>
    <row r="644" customFormat="1"/>
    <row r="645" customFormat="1"/>
    <row r="646" customFormat="1"/>
    <row r="647" customFormat="1"/>
    <row r="648" customFormat="1"/>
    <row r="649" customFormat="1"/>
    <row r="650" customFormat="1"/>
    <row r="651" customFormat="1"/>
    <row r="652" customFormat="1"/>
    <row r="653" customFormat="1"/>
    <row r="654" customFormat="1"/>
    <row r="655" customFormat="1"/>
    <row r="656" customFormat="1"/>
    <row r="657" customFormat="1"/>
    <row r="658" customFormat="1"/>
    <row r="659" customFormat="1"/>
    <row r="660" customFormat="1"/>
    <row r="661" customFormat="1"/>
    <row r="662" customFormat="1"/>
    <row r="663" customFormat="1"/>
    <row r="664" customFormat="1"/>
    <row r="665" customFormat="1"/>
    <row r="666" customFormat="1"/>
    <row r="667" customFormat="1"/>
    <row r="668" customFormat="1"/>
    <row r="669" customFormat="1"/>
    <row r="670" customFormat="1"/>
    <row r="671" customFormat="1"/>
    <row r="672" customFormat="1"/>
    <row r="673" customFormat="1"/>
    <row r="674" customFormat="1"/>
    <row r="675" customFormat="1"/>
    <row r="676" customFormat="1"/>
    <row r="677" customFormat="1"/>
    <row r="678" customFormat="1"/>
    <row r="679" customFormat="1"/>
    <row r="680" customFormat="1"/>
    <row r="681" customFormat="1"/>
    <row r="682" customFormat="1"/>
    <row r="683" customFormat="1"/>
    <row r="684" customFormat="1"/>
    <row r="685" customFormat="1"/>
    <row r="686" customFormat="1"/>
    <row r="687" customFormat="1"/>
    <row r="688" customFormat="1"/>
    <row r="689" customFormat="1"/>
    <row r="690" customFormat="1"/>
    <row r="691" customFormat="1"/>
    <row r="692" customFormat="1"/>
    <row r="693" customFormat="1"/>
    <row r="694" customFormat="1"/>
    <row r="695" customFormat="1"/>
    <row r="696" customFormat="1"/>
    <row r="697" customFormat="1"/>
    <row r="698" customFormat="1"/>
    <row r="699" customFormat="1"/>
    <row r="700" customFormat="1"/>
    <row r="701" customFormat="1"/>
    <row r="702" customFormat="1"/>
    <row r="703" customFormat="1"/>
    <row r="704" customFormat="1"/>
    <row r="705" customFormat="1"/>
    <row r="706" customFormat="1"/>
    <row r="707" customFormat="1"/>
    <row r="708" customFormat="1"/>
    <row r="709" customFormat="1"/>
    <row r="710" customFormat="1"/>
    <row r="711" customFormat="1"/>
    <row r="712" customFormat="1"/>
    <row r="713" customFormat="1"/>
    <row r="714" customFormat="1"/>
    <row r="715" customFormat="1"/>
    <row r="716" customFormat="1"/>
    <row r="717" customFormat="1"/>
    <row r="718" customFormat="1"/>
    <row r="719" customFormat="1"/>
    <row r="720" customFormat="1"/>
    <row r="721" customFormat="1"/>
    <row r="722" customFormat="1"/>
    <row r="723" customFormat="1"/>
    <row r="724" customFormat="1"/>
    <row r="725" customFormat="1"/>
    <row r="726" customFormat="1"/>
    <row r="727" customFormat="1"/>
    <row r="728" customFormat="1"/>
    <row r="729" customFormat="1"/>
    <row r="730" customFormat="1"/>
    <row r="731" customFormat="1"/>
    <row r="732" customFormat="1"/>
    <row r="733" customFormat="1"/>
    <row r="734" customFormat="1"/>
    <row r="735" customFormat="1"/>
    <row r="736" customFormat="1"/>
    <row r="737" customFormat="1"/>
    <row r="738" customFormat="1"/>
    <row r="739" customFormat="1"/>
    <row r="740" customFormat="1"/>
    <row r="741" customFormat="1"/>
    <row r="742" customFormat="1"/>
    <row r="743" customFormat="1"/>
    <row r="744" customFormat="1"/>
    <row r="745" customFormat="1"/>
    <row r="746" customFormat="1"/>
    <row r="747" customFormat="1"/>
    <row r="748" customFormat="1"/>
    <row r="749" customFormat="1"/>
    <row r="750" customFormat="1"/>
    <row r="751" customFormat="1"/>
    <row r="752" customFormat="1"/>
    <row r="753" customFormat="1"/>
    <row r="754" customFormat="1"/>
    <row r="755" customFormat="1"/>
    <row r="756" customFormat="1"/>
    <row r="757" customFormat="1"/>
    <row r="758" customFormat="1"/>
    <row r="759" customFormat="1"/>
    <row r="760" customFormat="1"/>
    <row r="761" customFormat="1"/>
    <row r="762" customFormat="1"/>
    <row r="763" customFormat="1"/>
    <row r="764" customFormat="1"/>
    <row r="765" customFormat="1"/>
    <row r="766" customFormat="1"/>
    <row r="767" customFormat="1"/>
    <row r="768" customFormat="1"/>
    <row r="769" customFormat="1"/>
    <row r="770" customFormat="1"/>
    <row r="771" customFormat="1"/>
    <row r="772" customFormat="1"/>
    <row r="773" customFormat="1"/>
    <row r="774" customFormat="1"/>
    <row r="775" customFormat="1"/>
    <row r="776" customFormat="1"/>
    <row r="777" customFormat="1"/>
    <row r="778" customFormat="1"/>
    <row r="779" customFormat="1"/>
    <row r="780" customFormat="1"/>
    <row r="781" customFormat="1"/>
    <row r="782" customFormat="1"/>
    <row r="783" customFormat="1"/>
    <row r="784" customFormat="1"/>
    <row r="785" customFormat="1"/>
    <row r="786" customFormat="1"/>
    <row r="787" customFormat="1"/>
    <row r="788" customFormat="1"/>
    <row r="789" customFormat="1"/>
    <row r="790" customFormat="1"/>
    <row r="791" customFormat="1"/>
    <row r="792" customFormat="1"/>
    <row r="793" customFormat="1"/>
    <row r="794" customFormat="1"/>
    <row r="795" customFormat="1"/>
    <row r="796" customFormat="1"/>
    <row r="797" customFormat="1"/>
    <row r="798" customFormat="1"/>
    <row r="799" customFormat="1"/>
    <row r="800" customFormat="1"/>
    <row r="801" customFormat="1"/>
    <row r="802" customFormat="1"/>
    <row r="803" customFormat="1"/>
    <row r="804" customFormat="1"/>
    <row r="805" customFormat="1"/>
    <row r="806" customFormat="1"/>
    <row r="807" customFormat="1"/>
    <row r="808" customFormat="1"/>
    <row r="809" customFormat="1"/>
    <row r="810" customFormat="1"/>
    <row r="811" customFormat="1"/>
    <row r="812" customFormat="1"/>
    <row r="813" customFormat="1"/>
    <row r="814" customFormat="1"/>
    <row r="815" customFormat="1"/>
    <row r="816" customFormat="1"/>
    <row r="817" customFormat="1"/>
    <row r="818" customFormat="1"/>
    <row r="819" customFormat="1"/>
    <row r="820" customFormat="1"/>
    <row r="821" customFormat="1"/>
    <row r="822" customFormat="1"/>
    <row r="823" customFormat="1"/>
    <row r="824" customFormat="1"/>
    <row r="825" customFormat="1"/>
    <row r="826" customFormat="1"/>
    <row r="827" customFormat="1"/>
    <row r="828" customFormat="1"/>
    <row r="829" customFormat="1"/>
    <row r="830" customFormat="1"/>
    <row r="831" customFormat="1"/>
    <row r="832" customFormat="1"/>
    <row r="833" spans="2:8" customFormat="1"/>
    <row r="834" spans="2:8" customFormat="1"/>
    <row r="835" spans="2:8" customFormat="1"/>
    <row r="836" spans="2:8" customFormat="1"/>
    <row r="837" spans="2:8" customFormat="1"/>
    <row r="838" spans="2:8" customFormat="1"/>
    <row r="839" spans="2:8" customFormat="1"/>
    <row r="840" spans="2:8" customFormat="1">
      <c r="B840" s="3"/>
      <c r="C840" s="3"/>
      <c r="D840" s="3"/>
      <c r="E840" s="3"/>
      <c r="F840" s="3"/>
      <c r="G840" s="3"/>
      <c r="H840" s="3"/>
    </row>
    <row r="841" spans="2:8" customFormat="1">
      <c r="B841" s="3"/>
      <c r="C841" s="3"/>
      <c r="D841" s="3"/>
      <c r="E841" s="3"/>
      <c r="F841" s="3"/>
      <c r="G841" s="3"/>
      <c r="H841" s="3"/>
    </row>
    <row r="842" spans="2:8" customFormat="1">
      <c r="B842" s="3"/>
      <c r="C842" s="3"/>
      <c r="D842" s="3"/>
      <c r="E842" s="3"/>
      <c r="F842" s="3"/>
      <c r="G842" s="3"/>
      <c r="H842" s="3"/>
    </row>
    <row r="843" spans="2:8" customFormat="1">
      <c r="B843" s="3"/>
      <c r="C843" s="3"/>
      <c r="D843" s="3"/>
      <c r="E843" s="3"/>
      <c r="F843" s="3"/>
      <c r="G843" s="3"/>
      <c r="H843" s="3"/>
    </row>
    <row r="844" spans="2:8" customFormat="1">
      <c r="B844" s="3"/>
      <c r="C844" s="3"/>
      <c r="D844" s="3"/>
      <c r="E844" s="3"/>
      <c r="F844" s="3"/>
      <c r="G844" s="3"/>
      <c r="H844" s="3"/>
    </row>
    <row r="845" spans="2:8" customFormat="1">
      <c r="B845" s="3"/>
      <c r="C845" s="3"/>
      <c r="D845" s="3"/>
      <c r="E845" s="3"/>
      <c r="F845" s="3"/>
      <c r="G845" s="3"/>
      <c r="H845" s="3"/>
    </row>
    <row r="846" spans="2:8" customFormat="1">
      <c r="B846" s="3"/>
      <c r="C846" s="3"/>
      <c r="D846" s="3"/>
      <c r="E846" s="3"/>
      <c r="F846" s="3"/>
      <c r="G846" s="3"/>
      <c r="H846" s="3"/>
    </row>
    <row r="847" spans="2:8" customFormat="1">
      <c r="B847" s="3"/>
      <c r="C847" s="3"/>
      <c r="D847" s="3"/>
      <c r="E847" s="3"/>
      <c r="F847" s="3"/>
      <c r="G847" s="3"/>
      <c r="H847" s="3"/>
    </row>
    <row r="848" spans="2:8" customFormat="1">
      <c r="B848" s="3"/>
      <c r="C848" s="3"/>
      <c r="D848" s="3"/>
      <c r="E848" s="3"/>
      <c r="F848" s="3"/>
      <c r="G848" s="3"/>
      <c r="H848" s="3"/>
    </row>
    <row r="849" spans="2:8" customFormat="1">
      <c r="B849" s="3"/>
      <c r="C849" s="3"/>
      <c r="D849" s="3"/>
      <c r="E849" s="3"/>
      <c r="F849" s="3"/>
      <c r="G849" s="3"/>
      <c r="H849" s="3"/>
    </row>
    <row r="850" spans="2:8" customFormat="1">
      <c r="B850" s="3"/>
      <c r="C850" s="3"/>
      <c r="D850" s="3"/>
      <c r="E850" s="3"/>
      <c r="F850" s="3"/>
      <c r="G850" s="3"/>
      <c r="H850" s="3"/>
    </row>
    <row r="851" spans="2:8" customFormat="1">
      <c r="B851" s="3"/>
      <c r="C851" s="3"/>
      <c r="D851" s="3"/>
      <c r="E851" s="3"/>
      <c r="F851" s="3"/>
      <c r="G851" s="3"/>
      <c r="H851" s="3"/>
    </row>
    <row r="852" spans="2:8" customFormat="1">
      <c r="B852" s="3"/>
      <c r="C852" s="3"/>
      <c r="D852" s="3"/>
      <c r="E852" s="3"/>
      <c r="F852" s="3"/>
      <c r="G852" s="3"/>
      <c r="H852" s="3"/>
    </row>
    <row r="853" spans="2:8" customFormat="1">
      <c r="B853" s="3"/>
      <c r="C853" s="3"/>
      <c r="D853" s="3"/>
      <c r="E853" s="3"/>
      <c r="F853" s="3"/>
      <c r="G853" s="3"/>
      <c r="H853" s="3"/>
    </row>
    <row r="854" spans="2:8" customFormat="1">
      <c r="B854" s="3"/>
      <c r="C854" s="3"/>
      <c r="D854" s="3"/>
      <c r="E854" s="3"/>
      <c r="F854" s="3"/>
      <c r="G854" s="3"/>
      <c r="H854" s="3"/>
    </row>
    <row r="855" spans="2:8" customFormat="1">
      <c r="B855" s="3"/>
      <c r="C855" s="3"/>
      <c r="D855" s="3"/>
      <c r="E855" s="3"/>
      <c r="F855" s="3"/>
      <c r="G855" s="3"/>
      <c r="H855" s="3"/>
    </row>
  </sheetData>
  <mergeCells count="1">
    <mergeCell ref="G9:G10"/>
  </mergeCells>
  <conditionalFormatting sqref="G11">
    <cfRule type="cellIs" dxfId="50" priority="4" operator="equal">
      <formula>"Possibly Feasible"</formula>
    </cfRule>
    <cfRule type="cellIs" dxfId="49" priority="5" operator="equal">
      <formula>"Likely Feasible"</formula>
    </cfRule>
    <cfRule type="containsText" dxfId="48" priority="6" operator="containsText" text="Unlikely Feasibility">
      <formula>NOT(ISERROR(SEARCH("Unlikely Feasibility",G11)))</formula>
    </cfRule>
  </conditionalFormatting>
  <dataValidations count="3">
    <dataValidation type="list" allowBlank="1" showInputMessage="1" showErrorMessage="1" sqref="D8" xr:uid="{8F28A79E-D70F-4C9D-BD4B-F9310782AB31}">
      <formula1>"Mid Rise,Single Family"</formula1>
    </dataValidation>
    <dataValidation type="list" allowBlank="1" showInputMessage="1" showErrorMessage="1" sqref="D9" xr:uid="{9F819EE8-386D-4AED-BEC8-1ACA24B1BEF7}">
      <formula1>"Higher Priced,Lower Priced"</formula1>
    </dataValidation>
    <dataValidation type="list" allowBlank="1" showInputMessage="1" showErrorMessage="1" sqref="D13" xr:uid="{2A18E741-DEA7-46D9-8288-961EC0B04656}">
      <formula1>"60%,80%,100%,120%"</formula1>
    </dataValidation>
  </dataValidation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cellIs" priority="91" operator="greaterThanOrEqual" id="{76F2A0BA-A491-4F46-9AD9-B472C1545AB9}">
            <xm:f>ModelInputs!$C$13</xm:f>
            <x14:dxf>
              <font>
                <color rgb="FF006100"/>
              </font>
              <fill>
                <patternFill>
                  <bgColor rgb="FFC6EFCE"/>
                </patternFill>
              </fill>
            </x14:dxf>
          </x14:cfRule>
          <x14:cfRule type="cellIs" priority="92" operator="between" id="{6F82EBCD-AB7D-4798-B9E9-0DA2550E5D4D}">
            <xm:f>ModelInputs!$C$14</xm:f>
            <xm:f>ModelInputs!$C$13</xm:f>
            <x14:dxf>
              <font>
                <color theme="2" tint="-0.749961851863155"/>
              </font>
              <fill>
                <patternFill>
                  <bgColor rgb="FFCCCC00"/>
                </patternFill>
              </fill>
            </x14:dxf>
          </x14:cfRule>
          <x14:cfRule type="cellIs" priority="93" operator="lessThan" id="{27FF3F8F-A8B3-4F3C-8DE7-165072C8155F}">
            <xm:f>ModelInputs!$C$14</xm:f>
            <x14:dxf>
              <font>
                <color rgb="FF9C0006"/>
              </font>
              <fill>
                <patternFill>
                  <bgColor rgb="FFFFC7CE"/>
                </patternFill>
              </fill>
            </x14:dxf>
          </x14:cfRule>
          <xm:sqref>G9</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636C0F5-D311-46D1-B711-47F922B7D334}">
          <x14:formula1>
            <xm:f>ModelInputs!$B$64:$B$68</xm:f>
          </x14:formula1>
          <xm:sqref>D7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2EDDF4-4BD0-4A2B-8A40-E4AC38BB3C3D}">
  <sheetPr codeName="Sheet19"/>
  <dimension ref="A1:X432"/>
  <sheetViews>
    <sheetView topLeftCell="A7" zoomScale="70" zoomScaleNormal="70" workbookViewId="0">
      <selection activeCell="D14" sqref="D14"/>
    </sheetView>
  </sheetViews>
  <sheetFormatPr defaultColWidth="8.88671875" defaultRowHeight="14.4"/>
  <cols>
    <col min="1" max="1" width="3.5546875" style="3" customWidth="1"/>
    <col min="2" max="2" width="6.6640625" style="3" customWidth="1"/>
    <col min="3" max="3" width="25.88671875" style="3" customWidth="1"/>
    <col min="4" max="4" width="22.6640625" style="3" customWidth="1"/>
    <col min="5" max="5" width="16" style="3" customWidth="1"/>
    <col min="6" max="6" width="26.6640625" style="3" bestFit="1" customWidth="1"/>
    <col min="7" max="7" width="26.109375" style="3" customWidth="1"/>
    <col min="8" max="8" width="11.109375" style="3" customWidth="1"/>
    <col min="9" max="9" width="24.33203125" style="3" customWidth="1"/>
    <col min="10" max="10" width="11.44140625" style="3" bestFit="1" customWidth="1"/>
    <col min="11" max="11" width="23" style="3" customWidth="1"/>
    <col min="12" max="12" width="20.88671875" style="3" bestFit="1" customWidth="1"/>
    <col min="13" max="13" width="9.5546875" style="3" bestFit="1" customWidth="1"/>
    <col min="14" max="14" width="11" style="3" customWidth="1"/>
    <col min="15" max="15" width="11.5546875" style="3" customWidth="1"/>
    <col min="16" max="16" width="11" customWidth="1"/>
    <col min="17" max="17" width="21" bestFit="1" customWidth="1"/>
    <col min="18" max="18" width="11" customWidth="1"/>
    <col min="19" max="19" width="11.33203125" bestFit="1" customWidth="1"/>
    <col min="21" max="21" width="11.33203125" bestFit="1" customWidth="1"/>
    <col min="22" max="22" width="11.5546875" bestFit="1" customWidth="1"/>
    <col min="23" max="23" width="10.5546875" style="3" bestFit="1" customWidth="1"/>
    <col min="24" max="24" width="11.33203125" style="3" bestFit="1" customWidth="1"/>
    <col min="25" max="16384" width="8.88671875" style="3"/>
  </cols>
  <sheetData>
    <row r="1" spans="1:22" ht="27.75" customHeight="1" thickBot="1">
      <c r="A1" s="2"/>
      <c r="B1" s="2"/>
      <c r="C1" s="2"/>
      <c r="D1" s="2"/>
      <c r="E1" s="2"/>
      <c r="F1" s="2"/>
      <c r="G1" s="2"/>
      <c r="H1" s="2"/>
      <c r="I1" s="2"/>
      <c r="J1" s="2"/>
      <c r="K1" s="2"/>
      <c r="L1" s="2"/>
      <c r="M1" s="2"/>
      <c r="N1" s="2"/>
      <c r="O1" s="2"/>
      <c r="P1" s="3"/>
      <c r="Q1" s="3"/>
      <c r="R1" s="3"/>
      <c r="S1" s="3"/>
      <c r="T1" s="3"/>
      <c r="U1" s="3"/>
      <c r="V1" s="3"/>
    </row>
    <row r="2" spans="1:22">
      <c r="A2" s="2"/>
      <c r="B2" s="4"/>
      <c r="C2" s="5"/>
      <c r="D2" s="5"/>
      <c r="E2" s="5"/>
      <c r="F2" s="5"/>
      <c r="G2" s="5"/>
      <c r="H2" s="5"/>
      <c r="I2" s="5"/>
      <c r="J2" s="5"/>
      <c r="K2" s="5"/>
      <c r="L2" s="129"/>
      <c r="P2" s="3"/>
      <c r="Q2" s="3"/>
      <c r="R2" s="3"/>
      <c r="S2" s="3"/>
      <c r="T2" s="3"/>
      <c r="U2" s="3"/>
      <c r="V2" s="3"/>
    </row>
    <row r="3" spans="1:22" ht="21">
      <c r="A3" s="2"/>
      <c r="B3" s="6"/>
      <c r="C3" s="42" t="s">
        <v>131</v>
      </c>
      <c r="D3" s="36"/>
      <c r="E3" s="36"/>
      <c r="F3" s="36"/>
      <c r="G3" s="37"/>
      <c r="H3" s="37"/>
      <c r="I3" s="37"/>
      <c r="J3" s="37"/>
      <c r="K3" s="37"/>
      <c r="L3" s="12"/>
      <c r="N3" s="106" t="s">
        <v>120</v>
      </c>
      <c r="P3" s="3"/>
      <c r="T3" s="3"/>
      <c r="U3" s="3"/>
      <c r="V3" s="3"/>
    </row>
    <row r="4" spans="1:22" ht="21">
      <c r="A4" s="2"/>
      <c r="B4" s="6"/>
      <c r="C4" s="7"/>
      <c r="D4" s="7"/>
      <c r="E4" s="7"/>
      <c r="F4" s="7"/>
      <c r="G4" s="7"/>
      <c r="H4" s="60"/>
      <c r="I4" s="7"/>
      <c r="J4" s="7"/>
      <c r="K4" s="7"/>
      <c r="L4" s="12"/>
      <c r="N4" s="1"/>
      <c r="O4" s="108" t="s">
        <v>128</v>
      </c>
      <c r="T4" s="3"/>
      <c r="U4" s="3"/>
      <c r="V4" s="3"/>
    </row>
    <row r="5" spans="1:22" ht="21">
      <c r="A5" s="2"/>
      <c r="B5" s="6"/>
      <c r="C5" s="38" t="s">
        <v>29</v>
      </c>
      <c r="D5" s="39"/>
      <c r="E5" s="39"/>
      <c r="F5" s="60"/>
      <c r="G5" s="38" t="s">
        <v>132</v>
      </c>
      <c r="H5" s="39"/>
      <c r="I5" s="39"/>
      <c r="J5" s="39"/>
      <c r="K5" s="39"/>
      <c r="L5" s="12"/>
      <c r="N5"/>
      <c r="O5" s="108" t="s">
        <v>173</v>
      </c>
      <c r="T5" s="3"/>
      <c r="U5" s="3"/>
      <c r="V5" s="3"/>
    </row>
    <row r="6" spans="1:22" ht="21.6" thickBot="1">
      <c r="A6" s="2"/>
      <c r="B6" s="6"/>
      <c r="C6" s="7"/>
      <c r="D6" s="7"/>
      <c r="E6" s="7"/>
      <c r="F6" s="7"/>
      <c r="G6" s="7"/>
      <c r="H6" s="60"/>
      <c r="I6" s="7"/>
      <c r="J6" s="7"/>
      <c r="K6" s="7"/>
      <c r="L6" s="12"/>
      <c r="N6"/>
      <c r="O6" s="108" t="s">
        <v>129</v>
      </c>
      <c r="T6" s="3"/>
      <c r="U6" s="3"/>
      <c r="V6" s="3"/>
    </row>
    <row r="7" spans="1:22" ht="19.2" thickTop="1" thickBot="1">
      <c r="A7" s="2"/>
      <c r="B7" s="6"/>
      <c r="C7" s="8" t="s">
        <v>89</v>
      </c>
      <c r="D7" s="109" t="s">
        <v>92</v>
      </c>
      <c r="E7" s="7"/>
      <c r="F7" s="7"/>
      <c r="G7" s="7"/>
      <c r="H7" s="60"/>
      <c r="I7" s="7"/>
      <c r="J7" s="7"/>
      <c r="K7" s="7"/>
      <c r="L7" s="12"/>
      <c r="P7" s="3"/>
      <c r="T7" s="3"/>
      <c r="U7" s="3"/>
      <c r="V7" s="3"/>
    </row>
    <row r="8" spans="1:22" ht="20.399999999999999" customHeight="1" thickTop="1" thickBot="1">
      <c r="A8" s="2"/>
      <c r="B8" s="6"/>
      <c r="C8" s="8" t="s">
        <v>3</v>
      </c>
      <c r="D8" s="109" t="s">
        <v>24</v>
      </c>
      <c r="E8" s="82" t="s">
        <v>69</v>
      </c>
      <c r="F8" s="7"/>
      <c r="G8" s="119" t="s">
        <v>103</v>
      </c>
      <c r="H8" s="105"/>
      <c r="I8" s="119" t="s">
        <v>113</v>
      </c>
      <c r="J8" s="105"/>
      <c r="K8" s="119" t="s">
        <v>114</v>
      </c>
      <c r="L8" s="12"/>
      <c r="P8" s="3"/>
      <c r="Q8" s="55"/>
      <c r="S8" s="3"/>
      <c r="T8" s="3"/>
      <c r="U8" s="3"/>
      <c r="V8" s="3"/>
    </row>
    <row r="9" spans="1:22" ht="22.2" customHeight="1" thickTop="1" thickBot="1">
      <c r="A9" s="2"/>
      <c r="B9" s="6"/>
      <c r="C9" s="8" t="s">
        <v>52</v>
      </c>
      <c r="D9" s="109" t="s">
        <v>96</v>
      </c>
      <c r="E9" s="82" t="s">
        <v>69</v>
      </c>
      <c r="F9" s="7"/>
      <c r="G9" s="236">
        <f>(Sale_Price-Total_Project_Costs)/Total_Project_Costs</f>
        <v>0.25</v>
      </c>
      <c r="H9" s="7"/>
      <c r="I9" s="236">
        <f>XIRR(J63:J243,M63:M243,0.05)</f>
        <v>0.19179762005805973</v>
      </c>
      <c r="J9" s="7"/>
      <c r="K9" s="238">
        <f>XIRR(J248:J428,M248:M428,0.05)</f>
        <v>0.12140461802482608</v>
      </c>
      <c r="L9" s="12"/>
      <c r="P9" s="3"/>
      <c r="Q9" s="55"/>
      <c r="R9" s="3"/>
      <c r="S9" s="3"/>
      <c r="T9" s="3"/>
      <c r="U9" s="3"/>
      <c r="V9" s="3"/>
    </row>
    <row r="10" spans="1:22" ht="18.600000000000001" customHeight="1" thickTop="1">
      <c r="A10" s="2"/>
      <c r="B10" s="6"/>
      <c r="C10" s="10" t="s">
        <v>53</v>
      </c>
      <c r="D10" s="110">
        <v>100</v>
      </c>
      <c r="E10" s="7"/>
      <c r="F10" s="7"/>
      <c r="G10" s="237"/>
      <c r="H10" s="7"/>
      <c r="I10" s="237"/>
      <c r="J10" s="7"/>
      <c r="K10" s="239"/>
      <c r="L10" s="12"/>
      <c r="P10" s="3"/>
      <c r="Q10" s="55"/>
      <c r="R10" s="3"/>
      <c r="S10" s="3"/>
      <c r="T10" s="3"/>
      <c r="U10" s="3"/>
      <c r="V10" s="3"/>
    </row>
    <row r="11" spans="1:22" ht="18.600000000000001" thickBot="1">
      <c r="A11" s="2"/>
      <c r="B11" s="6"/>
      <c r="C11" s="60"/>
      <c r="D11" s="60"/>
      <c r="E11" s="8"/>
      <c r="F11" s="7"/>
      <c r="G11" s="120" t="str">
        <f>IF(G9="TBD","",IF(G9&gt;=ModelInputs!C13,"Likely Feasible",IF(AND(G9&lt;ModelInputs!C13,G9&gt;=ModelInputs!C14),"Possibly Feasible","Unlikely Feasibility")))</f>
        <v>Likely Feasible</v>
      </c>
      <c r="H11" s="113"/>
      <c r="I11" s="120" t="str">
        <f>IF(I9&gt;=ModelInputs!$C$9,"Likely Feasible",IF(AND(I9&lt;ModelInputs!$C$9,I9&gt;=ModelInputs!$C$10),"Possibly Feasible","Unlikely Feasibility"))</f>
        <v>Possibly Feasible</v>
      </c>
      <c r="J11" s="113"/>
      <c r="K11" s="120" t="str">
        <f>IF(K9&gt;=ModelInputs!$C$5,"Likely Feasible",IF(AND(K9&lt;ModelInputs!$C$5,K9&gt;=ModelInputs!$C$6),"Possibly Feasible","Unlikely Feasibility"))</f>
        <v>Likely Feasible</v>
      </c>
      <c r="L11" s="12"/>
      <c r="P11" s="3"/>
      <c r="Q11" s="3"/>
      <c r="R11" s="3"/>
      <c r="S11" s="3"/>
      <c r="T11" s="3"/>
      <c r="U11" s="3"/>
      <c r="V11" s="3"/>
    </row>
    <row r="12" spans="1:22" ht="19.8" customHeight="1" thickTop="1" thickBot="1">
      <c r="A12" s="2"/>
      <c r="B12" s="6"/>
      <c r="C12" s="85" t="s">
        <v>91</v>
      </c>
      <c r="D12" s="111">
        <v>0.6</v>
      </c>
      <c r="E12" s="7"/>
      <c r="F12" s="7"/>
      <c r="G12" s="7"/>
      <c r="H12" s="60"/>
      <c r="I12" s="7"/>
      <c r="J12" s="7"/>
      <c r="K12" s="7"/>
      <c r="L12" s="12"/>
      <c r="P12" s="3"/>
      <c r="Q12" s="3"/>
      <c r="R12" s="3"/>
      <c r="S12" s="3"/>
      <c r="T12" s="3"/>
      <c r="U12" s="3"/>
      <c r="V12" s="3"/>
    </row>
    <row r="13" spans="1:22" ht="19.2" thickTop="1" thickBot="1">
      <c r="A13" s="2"/>
      <c r="B13" s="6"/>
      <c r="C13" s="96" t="s">
        <v>30</v>
      </c>
      <c r="D13" s="112">
        <v>0</v>
      </c>
      <c r="E13" s="7"/>
      <c r="F13" s="7"/>
      <c r="G13" s="7"/>
      <c r="H13" s="60"/>
      <c r="I13" s="7"/>
      <c r="J13" s="7"/>
      <c r="K13" s="7"/>
      <c r="L13" s="12"/>
      <c r="P13" s="3"/>
      <c r="Q13" s="3"/>
      <c r="R13" s="3"/>
      <c r="S13" s="3"/>
      <c r="T13" s="3"/>
      <c r="U13" s="3"/>
      <c r="V13" s="3"/>
    </row>
    <row r="14" spans="1:22" ht="16.95" customHeight="1">
      <c r="A14" s="2"/>
      <c r="B14" s="6"/>
      <c r="C14" s="60"/>
      <c r="D14" s="118"/>
      <c r="E14" s="82"/>
      <c r="F14" s="7"/>
      <c r="G14" s="7"/>
      <c r="H14" s="60"/>
      <c r="I14" s="7"/>
      <c r="J14" s="7"/>
      <c r="K14" s="7"/>
      <c r="L14" s="12"/>
      <c r="P14" s="3"/>
      <c r="Q14" s="3"/>
      <c r="R14" s="3"/>
      <c r="S14" s="3"/>
      <c r="T14" s="3"/>
      <c r="U14" s="3"/>
      <c r="V14" s="3"/>
    </row>
    <row r="15" spans="1:22" ht="21.6" customHeight="1">
      <c r="A15" s="2"/>
      <c r="B15" s="6"/>
      <c r="C15" s="233" t="s">
        <v>66</v>
      </c>
      <c r="D15" s="116">
        <f>Total_Units-D17</f>
        <v>100</v>
      </c>
      <c r="E15" s="82"/>
      <c r="F15" s="7"/>
      <c r="G15" s="7"/>
      <c r="H15" s="60"/>
      <c r="I15" s="7"/>
      <c r="J15" s="7"/>
      <c r="K15" s="7"/>
      <c r="L15" s="12"/>
      <c r="P15" s="3"/>
      <c r="Q15" s="3"/>
      <c r="R15" s="3"/>
      <c r="S15" s="3"/>
      <c r="T15" s="3"/>
      <c r="U15" s="3"/>
      <c r="V15" s="3"/>
    </row>
    <row r="16" spans="1:22" ht="21.6" customHeight="1">
      <c r="A16" s="2"/>
      <c r="B16" s="6"/>
      <c r="C16" s="234"/>
      <c r="D16" s="154" cm="1">
        <f t="array" ref="D16">IF(Price_Land_Context="Lower Priced",_xlfn.XLOOKUP(D7,ModelInputs!B57:B61,_xlfn.XLOOKUP(Building_Type,ModelInputs!C56:F56,ModelInputs!C57:F61)),IF(Price_Land_Context="Higher Priced",_xlfn.XLOOKUP(D7,ModelInputs!B64:B68,_xlfn.XLOOKUP(Building_Type,ModelInputs!C63:F63,ModelInputs!C64:F68)),0))</f>
        <v>450000</v>
      </c>
      <c r="E16" s="82"/>
      <c r="F16" s="7"/>
      <c r="G16" s="7"/>
      <c r="H16" s="60"/>
      <c r="I16" s="7"/>
      <c r="J16" s="7"/>
      <c r="K16" s="7"/>
      <c r="L16" s="12"/>
      <c r="P16" s="3"/>
      <c r="Q16" s="3"/>
      <c r="R16" s="3"/>
      <c r="S16" s="3"/>
      <c r="T16" s="3"/>
      <c r="U16" s="3"/>
      <c r="V16" s="3"/>
    </row>
    <row r="17" spans="1:22" ht="21">
      <c r="A17" s="2"/>
      <c r="B17" s="6"/>
      <c r="C17" s="234" t="s">
        <v>28</v>
      </c>
      <c r="D17" s="156">
        <f>Total_Units*AMI_Band_1_Pct</f>
        <v>0</v>
      </c>
      <c r="E17" s="7"/>
      <c r="F17" s="7"/>
      <c r="G17" s="7"/>
      <c r="H17" s="60"/>
      <c r="I17" s="7"/>
      <c r="J17" s="7"/>
      <c r="K17" s="7"/>
      <c r="L17" s="12"/>
      <c r="P17" s="3"/>
      <c r="Q17" s="3"/>
      <c r="R17" s="3"/>
      <c r="S17" s="3"/>
      <c r="T17" s="3"/>
      <c r="U17" s="3"/>
      <c r="V17" s="3"/>
    </row>
    <row r="18" spans="1:22" ht="21">
      <c r="A18" s="2"/>
      <c r="B18" s="6"/>
      <c r="C18" s="235"/>
      <c r="D18" s="155">
        <f>_xlfn.XLOOKUP(D7,ModelInputs!B71:B75,ModelInputs!C71:C75)*AMI_Band_1_Type*3</f>
        <v>234000</v>
      </c>
      <c r="E18" s="7"/>
      <c r="F18" s="7"/>
      <c r="G18" s="7"/>
      <c r="H18" s="60"/>
      <c r="I18" s="7"/>
      <c r="J18" s="7"/>
      <c r="K18" s="7"/>
      <c r="L18" s="12"/>
      <c r="P18" s="3"/>
      <c r="Q18" s="3"/>
      <c r="R18" s="3"/>
      <c r="S18" s="3"/>
      <c r="T18" s="3"/>
      <c r="U18" s="3"/>
      <c r="V18" s="3"/>
    </row>
    <row r="19" spans="1:22">
      <c r="A19" s="2"/>
      <c r="B19" s="6"/>
      <c r="C19" s="60"/>
      <c r="D19" s="60"/>
      <c r="E19" s="82"/>
      <c r="F19" s="7"/>
      <c r="G19" s="7"/>
      <c r="H19" s="60"/>
      <c r="I19" s="7"/>
      <c r="J19" s="7"/>
      <c r="K19" s="7"/>
      <c r="L19" s="12"/>
      <c r="P19" s="3"/>
      <c r="Q19" s="3"/>
      <c r="R19" s="3"/>
      <c r="S19" s="3"/>
      <c r="T19" s="3"/>
      <c r="U19" s="3"/>
      <c r="V19" s="3"/>
    </row>
    <row r="20" spans="1:22">
      <c r="A20" s="2"/>
      <c r="B20" s="6"/>
      <c r="C20" s="7"/>
      <c r="D20" s="7"/>
      <c r="E20" s="7"/>
      <c r="F20" s="7"/>
      <c r="G20" s="7"/>
      <c r="H20" s="60"/>
      <c r="I20" s="7"/>
      <c r="J20" s="7"/>
      <c r="K20" s="7"/>
      <c r="L20" s="12"/>
      <c r="P20" s="3"/>
      <c r="Q20" s="3"/>
      <c r="R20" s="3"/>
      <c r="S20" s="3"/>
      <c r="T20" s="3"/>
      <c r="U20" s="3"/>
      <c r="V20" s="3"/>
    </row>
    <row r="21" spans="1:22">
      <c r="A21" s="2"/>
      <c r="B21" s="6"/>
      <c r="C21" s="7"/>
      <c r="D21" s="7"/>
      <c r="E21" s="7"/>
      <c r="F21" s="7"/>
      <c r="G21" s="7"/>
      <c r="H21" s="60"/>
      <c r="I21" s="7"/>
      <c r="J21" s="7"/>
      <c r="K21" s="7"/>
      <c r="L21" s="12"/>
      <c r="P21" s="3"/>
      <c r="Q21" s="3"/>
      <c r="R21" s="3"/>
      <c r="S21" s="3"/>
      <c r="T21" s="3"/>
      <c r="U21" s="3"/>
      <c r="V21" s="3"/>
    </row>
    <row r="22" spans="1:22">
      <c r="A22" s="2"/>
      <c r="B22" s="6"/>
      <c r="C22" s="7"/>
      <c r="D22" s="7"/>
      <c r="E22" s="7"/>
      <c r="F22" s="7"/>
      <c r="G22" s="7"/>
      <c r="H22" s="60"/>
      <c r="I22" s="7"/>
      <c r="J22" s="7"/>
      <c r="K22" s="7"/>
      <c r="L22" s="12"/>
      <c r="P22" s="3"/>
      <c r="Q22" s="3"/>
      <c r="R22" s="3"/>
      <c r="S22" s="3"/>
      <c r="T22" s="3"/>
      <c r="U22" s="3"/>
      <c r="V22" s="3"/>
    </row>
    <row r="23" spans="1:22">
      <c r="A23" s="2"/>
      <c r="B23" s="6"/>
      <c r="C23" s="7"/>
      <c r="D23" s="7"/>
      <c r="E23" s="7"/>
      <c r="F23" s="7"/>
      <c r="G23" s="7"/>
      <c r="H23" s="60"/>
      <c r="I23" s="7"/>
      <c r="J23" s="7"/>
      <c r="K23" s="7"/>
      <c r="L23" s="12"/>
      <c r="P23" s="3"/>
      <c r="Q23" s="3"/>
      <c r="R23" s="3"/>
      <c r="S23" s="3"/>
      <c r="T23" s="3"/>
      <c r="U23" s="3"/>
      <c r="V23" s="3"/>
    </row>
    <row r="24" spans="1:22" ht="18">
      <c r="A24" s="2"/>
      <c r="B24" s="6"/>
      <c r="C24" s="40" t="s">
        <v>54</v>
      </c>
      <c r="D24" s="39"/>
      <c r="E24" s="39"/>
      <c r="F24" s="7"/>
      <c r="G24" s="7"/>
      <c r="H24" s="60"/>
      <c r="I24" s="7"/>
      <c r="J24" s="7"/>
      <c r="K24" s="7"/>
      <c r="L24" s="12"/>
      <c r="P24" s="3"/>
      <c r="Q24" s="3"/>
      <c r="R24" s="3"/>
      <c r="S24" s="3"/>
      <c r="T24" s="3"/>
      <c r="U24" s="3"/>
      <c r="V24" s="3"/>
    </row>
    <row r="25" spans="1:22" ht="16.95" customHeight="1">
      <c r="A25" s="2"/>
      <c r="B25" s="6"/>
      <c r="C25" s="7"/>
      <c r="D25" s="7"/>
      <c r="E25" s="7"/>
      <c r="F25" s="7"/>
      <c r="G25" s="7"/>
      <c r="H25" s="60"/>
      <c r="I25" s="7"/>
      <c r="J25" s="7"/>
      <c r="K25" s="7"/>
      <c r="L25" s="12"/>
      <c r="P25" s="3"/>
      <c r="Q25" s="3"/>
      <c r="R25" s="3"/>
      <c r="S25" s="3"/>
      <c r="T25" s="3"/>
      <c r="U25" s="3"/>
      <c r="V25" s="3"/>
    </row>
    <row r="26" spans="1:22">
      <c r="A26" s="2"/>
      <c r="B26" s="6"/>
      <c r="C26" s="7"/>
      <c r="D26" s="9"/>
      <c r="E26" s="9"/>
      <c r="F26" s="7"/>
      <c r="G26" s="7"/>
      <c r="H26" s="60"/>
      <c r="I26" s="7"/>
      <c r="J26" s="7"/>
      <c r="K26" s="7"/>
      <c r="L26" s="12"/>
      <c r="P26" s="3"/>
      <c r="Q26" s="3"/>
      <c r="R26" s="3"/>
      <c r="S26" s="3"/>
      <c r="T26" s="3"/>
      <c r="U26" s="3"/>
      <c r="V26" s="3"/>
    </row>
    <row r="27" spans="1:22" s="186" customFormat="1" ht="19.8" customHeight="1">
      <c r="A27" s="178"/>
      <c r="B27" s="179"/>
      <c r="C27" s="180" t="s">
        <v>168</v>
      </c>
      <c r="D27" s="181">
        <f>Total_Units*IF(Total_Units&gt;50,_xlfn.XLOOKUP(Building_Type,ModelInputs!B29:B32,ModelInputs!D29:D32),_xlfn.XLOOKUP(Building_Type,ModelInputs!B29:B32,ModelInputs!C29:C32))</f>
        <v>2000000</v>
      </c>
      <c r="E27" s="182"/>
      <c r="F27" s="183"/>
      <c r="G27" s="183"/>
      <c r="H27" s="184"/>
      <c r="I27" s="183"/>
      <c r="J27" s="183"/>
      <c r="K27" s="183"/>
      <c r="L27" s="185"/>
    </row>
    <row r="28" spans="1:22" s="186" customFormat="1" ht="19.8" customHeight="1">
      <c r="A28" s="178"/>
      <c r="B28" s="179"/>
      <c r="C28" s="180" t="s">
        <v>67</v>
      </c>
      <c r="D28" s="181" cm="1">
        <f t="array" ref="D28">Total_Units*_xlfn.XLOOKUP(Building_Type,ModelInputs!B37:B40,_xlfn.XLOOKUP(Price_Land_Context,ModelInputs!C36:D36,ModelInputs!C37:D40))</f>
        <v>30000000</v>
      </c>
      <c r="E28" s="182"/>
      <c r="F28" s="183"/>
      <c r="G28" s="183"/>
      <c r="H28" s="184"/>
      <c r="I28" s="183"/>
      <c r="J28" s="183"/>
      <c r="K28" s="183"/>
      <c r="L28" s="185"/>
    </row>
    <row r="29" spans="1:22" s="186" customFormat="1" ht="19.8" customHeight="1">
      <c r="A29" s="178"/>
      <c r="B29" s="179"/>
      <c r="C29" s="180" t="s">
        <v>6</v>
      </c>
      <c r="D29" s="181" cm="1">
        <f t="array" ref="D29">Total_Units*_xlfn.XLOOKUP(Building_Type,ModelInputs!C19:F19,_xlfn.XLOOKUP(D7,ModelInputs!B20:B24,ModelInputs!C20:F24))</f>
        <v>4000000</v>
      </c>
      <c r="E29" s="182"/>
      <c r="F29" s="183"/>
      <c r="G29" s="183"/>
      <c r="H29" s="184"/>
      <c r="I29" s="183"/>
      <c r="J29" s="183"/>
      <c r="K29" s="183"/>
      <c r="L29" s="185"/>
    </row>
    <row r="30" spans="1:22" s="186" customFormat="1" ht="19.8" customHeight="1">
      <c r="A30" s="178"/>
      <c r="B30" s="179"/>
      <c r="C30" s="180" t="s">
        <v>7</v>
      </c>
      <c r="D30" s="181">
        <f>(SUM(D27:D29))</f>
        <v>36000000</v>
      </c>
      <c r="E30" s="182"/>
      <c r="F30" s="183"/>
      <c r="G30" s="183"/>
      <c r="H30" s="184"/>
      <c r="I30" s="183"/>
      <c r="J30" s="183"/>
      <c r="K30" s="183"/>
      <c r="L30" s="185"/>
    </row>
    <row r="31" spans="1:22" s="186" customFormat="1" ht="19.8" customHeight="1">
      <c r="A31" s="178"/>
      <c r="B31" s="179"/>
      <c r="C31" s="180"/>
      <c r="D31" s="180"/>
      <c r="E31" s="180"/>
      <c r="F31" s="183"/>
      <c r="G31" s="183"/>
      <c r="H31" s="184"/>
      <c r="I31" s="183"/>
      <c r="J31" s="183"/>
      <c r="K31" s="183"/>
      <c r="L31" s="185"/>
    </row>
    <row r="32" spans="1:22" s="186" customFormat="1" ht="19.8" customHeight="1">
      <c r="A32" s="178"/>
      <c r="B32" s="179"/>
      <c r="C32" s="183"/>
      <c r="D32" s="183"/>
      <c r="E32" s="183"/>
      <c r="F32" s="183"/>
      <c r="G32" s="183"/>
      <c r="H32" s="184"/>
      <c r="I32" s="183"/>
      <c r="J32" s="183"/>
      <c r="K32" s="183"/>
      <c r="L32" s="185"/>
    </row>
    <row r="33" spans="1:22" s="186" customFormat="1" ht="19.8" customHeight="1">
      <c r="A33" s="178"/>
      <c r="B33" s="179"/>
      <c r="C33" s="180" t="s">
        <v>74</v>
      </c>
      <c r="D33" s="181">
        <f>D30/Total_Units</f>
        <v>360000</v>
      </c>
      <c r="E33" s="187"/>
      <c r="F33" s="183"/>
      <c r="G33" s="183"/>
      <c r="H33" s="184"/>
      <c r="I33" s="183"/>
      <c r="J33" s="183"/>
      <c r="K33" s="183"/>
      <c r="L33" s="185"/>
    </row>
    <row r="34" spans="1:22" s="186" customFormat="1" ht="19.8" customHeight="1">
      <c r="A34" s="178"/>
      <c r="B34" s="179"/>
      <c r="C34" s="183"/>
      <c r="D34" s="183"/>
      <c r="E34" s="183"/>
      <c r="F34" s="183"/>
      <c r="G34" s="183"/>
      <c r="H34" s="184"/>
      <c r="I34" s="183"/>
      <c r="J34" s="183"/>
      <c r="K34" s="183"/>
      <c r="L34" s="185"/>
    </row>
    <row r="35" spans="1:22" s="186" customFormat="1" ht="19.8" customHeight="1">
      <c r="A35" s="178"/>
      <c r="B35" s="179"/>
      <c r="C35" s="180" t="s">
        <v>18</v>
      </c>
      <c r="D35" s="181">
        <f>(D15*D16+D17*D18)</f>
        <v>45000000</v>
      </c>
      <c r="E35" s="182"/>
      <c r="F35" s="183"/>
      <c r="G35" s="183"/>
      <c r="H35" s="184"/>
      <c r="I35" s="183"/>
      <c r="J35" s="183"/>
      <c r="K35" s="183"/>
      <c r="L35" s="185"/>
    </row>
    <row r="36" spans="1:22" ht="15.6">
      <c r="A36" s="2"/>
      <c r="B36" s="6"/>
      <c r="C36" s="84"/>
      <c r="D36" s="27"/>
      <c r="E36" s="82"/>
      <c r="F36" s="7"/>
      <c r="G36" s="7"/>
      <c r="H36" s="60"/>
      <c r="I36" s="7"/>
      <c r="J36" s="7"/>
      <c r="K36" s="7"/>
      <c r="L36" s="12"/>
      <c r="P36" s="3"/>
      <c r="Q36" s="3"/>
      <c r="R36" s="3"/>
      <c r="S36" s="3"/>
      <c r="T36" s="3"/>
      <c r="U36" s="3"/>
      <c r="V36" s="3"/>
    </row>
    <row r="37" spans="1:22" ht="15.6">
      <c r="A37" s="2"/>
      <c r="B37" s="6"/>
      <c r="C37" s="84"/>
      <c r="D37" s="27"/>
      <c r="E37" s="82"/>
      <c r="F37" s="7"/>
      <c r="G37" s="7"/>
      <c r="H37" s="60"/>
      <c r="I37" s="7"/>
      <c r="J37" s="7"/>
      <c r="K37" s="7"/>
      <c r="L37" s="12"/>
      <c r="P37" s="3"/>
      <c r="Q37" s="3"/>
      <c r="R37" s="3"/>
      <c r="S37" s="3"/>
      <c r="T37" s="3"/>
      <c r="U37" s="3"/>
      <c r="V37" s="3"/>
    </row>
    <row r="38" spans="1:22" ht="15.6">
      <c r="A38" s="2"/>
      <c r="B38" s="6"/>
      <c r="C38" s="41" t="s">
        <v>175</v>
      </c>
      <c r="D38" s="39"/>
      <c r="E38" s="39"/>
      <c r="F38" s="7"/>
      <c r="G38" s="7"/>
      <c r="H38" s="60"/>
      <c r="I38" s="7"/>
      <c r="J38" s="7"/>
      <c r="K38" s="7"/>
      <c r="L38" s="12"/>
      <c r="P38" s="3"/>
      <c r="Q38" s="3"/>
      <c r="R38" s="3"/>
      <c r="S38" s="3"/>
      <c r="T38" s="3"/>
      <c r="U38" s="3"/>
      <c r="V38" s="3"/>
    </row>
    <row r="39" spans="1:22">
      <c r="A39" s="2"/>
      <c r="B39" s="6"/>
      <c r="C39" s="7"/>
      <c r="D39" s="7"/>
      <c r="E39" s="7"/>
      <c r="F39" s="7"/>
      <c r="G39" s="7"/>
      <c r="H39" s="60"/>
      <c r="I39" s="7"/>
      <c r="J39" s="7"/>
      <c r="K39" s="7"/>
      <c r="L39" s="12"/>
      <c r="P39" s="3"/>
      <c r="Q39" s="3"/>
      <c r="R39" s="3"/>
      <c r="S39" s="3"/>
      <c r="T39" s="3"/>
      <c r="U39" s="3"/>
      <c r="V39" s="3"/>
    </row>
    <row r="40" spans="1:22">
      <c r="A40" s="2"/>
      <c r="B40" s="6"/>
      <c r="C40" s="14" t="s">
        <v>14</v>
      </c>
      <c r="D40" s="14"/>
      <c r="E40" s="7"/>
      <c r="F40" s="7"/>
      <c r="G40" s="7"/>
      <c r="H40" s="60"/>
      <c r="I40" s="7"/>
      <c r="J40" s="7"/>
      <c r="K40" s="7"/>
      <c r="L40" s="12"/>
      <c r="P40" s="3"/>
      <c r="Q40" s="3"/>
      <c r="R40" s="3"/>
      <c r="S40" s="3"/>
      <c r="T40" s="3"/>
      <c r="U40" s="3"/>
      <c r="V40" s="3"/>
    </row>
    <row r="41" spans="1:22" s="186" customFormat="1" ht="15.6">
      <c r="A41" s="178"/>
      <c r="B41" s="179"/>
      <c r="C41" s="188"/>
      <c r="D41" s="189"/>
      <c r="E41" s="183"/>
      <c r="F41" s="183"/>
      <c r="G41" s="183"/>
      <c r="H41" s="184"/>
      <c r="I41" s="183"/>
      <c r="J41" s="183"/>
      <c r="K41" s="183"/>
      <c r="L41" s="185"/>
    </row>
    <row r="42" spans="1:22" s="186" customFormat="1" ht="15.6">
      <c r="A42" s="178"/>
      <c r="B42" s="179"/>
      <c r="C42" s="188" t="s">
        <v>56</v>
      </c>
      <c r="D42" s="190">
        <f>D30*(1-$G53)</f>
        <v>12600000</v>
      </c>
      <c r="E42" s="183"/>
      <c r="F42" s="183"/>
      <c r="G42" s="183"/>
      <c r="H42" s="184"/>
      <c r="I42" s="183"/>
      <c r="J42" s="183"/>
      <c r="K42" s="183"/>
      <c r="L42" s="185"/>
    </row>
    <row r="43" spans="1:22" s="186" customFormat="1" ht="15.6">
      <c r="A43" s="178"/>
      <c r="B43" s="179"/>
      <c r="C43" s="188" t="s">
        <v>65</v>
      </c>
      <c r="D43" s="190">
        <f>D30*$G53*(1+D$55)</f>
        <v>23634000</v>
      </c>
      <c r="E43" s="183"/>
      <c r="F43" s="183"/>
      <c r="G43" s="183"/>
      <c r="H43" s="184"/>
      <c r="I43" s="183"/>
      <c r="J43" s="183"/>
      <c r="K43" s="183"/>
      <c r="L43" s="185"/>
    </row>
    <row r="44" spans="1:22" s="186" customFormat="1" ht="15.6">
      <c r="A44" s="178"/>
      <c r="B44" s="179"/>
      <c r="C44" s="188" t="s">
        <v>38</v>
      </c>
      <c r="D44" s="193">
        <v>0.03</v>
      </c>
      <c r="E44" s="183"/>
      <c r="F44" s="183"/>
      <c r="G44" s="183"/>
      <c r="H44" s="184"/>
      <c r="I44" s="183"/>
      <c r="J44" s="183"/>
      <c r="K44" s="183"/>
      <c r="L44" s="185"/>
    </row>
    <row r="45" spans="1:22" s="186" customFormat="1" ht="15.6">
      <c r="A45" s="178"/>
      <c r="B45" s="179"/>
      <c r="C45" s="188"/>
      <c r="D45" s="191"/>
      <c r="E45" s="192"/>
      <c r="F45" s="183"/>
      <c r="G45" s="183"/>
      <c r="H45" s="184"/>
      <c r="I45" s="183"/>
      <c r="J45" s="183"/>
      <c r="K45" s="183"/>
      <c r="L45" s="185"/>
    </row>
    <row r="46" spans="1:22">
      <c r="A46" s="2"/>
      <c r="B46" s="6"/>
      <c r="C46" s="7"/>
      <c r="D46" s="7"/>
      <c r="E46" s="7"/>
      <c r="F46" s="7"/>
      <c r="G46" s="7"/>
      <c r="H46" s="7"/>
      <c r="I46" s="7"/>
      <c r="J46" s="7"/>
      <c r="K46" s="7"/>
      <c r="L46" s="12"/>
      <c r="P46" s="3"/>
      <c r="Q46" s="3"/>
      <c r="R46" s="3"/>
      <c r="S46" s="3"/>
      <c r="T46" s="3"/>
      <c r="U46" s="3"/>
      <c r="V46" s="3"/>
    </row>
    <row r="47" spans="1:22" ht="18">
      <c r="A47" s="2"/>
      <c r="B47" s="6"/>
      <c r="C47" s="63" t="s">
        <v>44</v>
      </c>
      <c r="D47" s="64"/>
      <c r="E47" s="64"/>
      <c r="F47" s="64"/>
      <c r="G47" s="64"/>
      <c r="H47" s="64"/>
      <c r="I47" s="64"/>
      <c r="J47" s="17"/>
      <c r="K47" s="17"/>
      <c r="L47" s="12"/>
      <c r="P47" s="3"/>
      <c r="Q47" s="3"/>
      <c r="R47" s="3"/>
      <c r="S47" s="3"/>
      <c r="T47" s="3"/>
      <c r="U47" s="3"/>
      <c r="V47" s="3"/>
    </row>
    <row r="48" spans="1:22">
      <c r="A48" s="2"/>
      <c r="B48" s="6"/>
      <c r="C48" s="50"/>
      <c r="D48" s="50"/>
      <c r="E48" s="50"/>
      <c r="F48" s="9"/>
      <c r="G48" s="7"/>
      <c r="H48" s="7"/>
      <c r="I48" s="7"/>
      <c r="J48" s="17"/>
      <c r="K48" s="17"/>
      <c r="L48" s="12"/>
      <c r="P48" s="3"/>
      <c r="Q48" s="3"/>
      <c r="R48" s="3"/>
      <c r="S48" s="3"/>
      <c r="T48" s="3"/>
      <c r="U48" s="3"/>
      <c r="V48" s="3"/>
    </row>
    <row r="49" spans="1:24" ht="15.6">
      <c r="A49" s="2"/>
      <c r="B49" s="6"/>
      <c r="C49" s="41" t="s">
        <v>81</v>
      </c>
      <c r="D49" s="39"/>
      <c r="E49" s="39"/>
      <c r="F49" s="39"/>
      <c r="G49" s="97" t="s">
        <v>82</v>
      </c>
      <c r="H49" s="7"/>
      <c r="I49" s="7"/>
      <c r="J49" s="17"/>
      <c r="K49" s="17"/>
      <c r="L49" s="12"/>
      <c r="P49" s="3"/>
      <c r="Q49" s="3"/>
      <c r="R49" s="3"/>
      <c r="S49" s="3"/>
      <c r="T49" s="3"/>
      <c r="U49" s="3"/>
      <c r="V49" s="3"/>
    </row>
    <row r="50" spans="1:24">
      <c r="A50" s="2"/>
      <c r="B50" s="6"/>
      <c r="C50" s="7"/>
      <c r="D50" s="7"/>
      <c r="E50" s="13"/>
      <c r="F50" s="7"/>
      <c r="G50" s="7"/>
      <c r="H50" s="7"/>
      <c r="I50" s="7"/>
      <c r="J50" s="17"/>
      <c r="K50" s="17"/>
      <c r="L50" s="12"/>
      <c r="P50" s="3"/>
      <c r="Q50" s="3"/>
      <c r="R50" s="3"/>
      <c r="S50" s="3"/>
      <c r="T50" s="3"/>
      <c r="U50" s="3"/>
      <c r="V50" s="3"/>
    </row>
    <row r="51" spans="1:24">
      <c r="A51" s="2"/>
      <c r="B51" s="6"/>
      <c r="C51" s="7"/>
      <c r="D51" s="7"/>
      <c r="E51" s="13"/>
      <c r="F51" s="7"/>
      <c r="G51" s="7"/>
      <c r="H51" s="7"/>
      <c r="I51" s="7"/>
      <c r="J51" s="17"/>
      <c r="K51" s="17"/>
      <c r="L51" s="12"/>
      <c r="P51" s="3"/>
      <c r="Q51" s="3"/>
      <c r="R51" s="3"/>
      <c r="S51" s="3"/>
      <c r="T51" s="3"/>
      <c r="U51" s="3"/>
      <c r="V51" s="3"/>
    </row>
    <row r="52" spans="1:24">
      <c r="A52" s="2"/>
      <c r="B52" s="6"/>
      <c r="C52" s="14" t="s">
        <v>19</v>
      </c>
      <c r="D52" s="44">
        <f>_xlfn.XLOOKUP(Building_Type,ModelInputs!B111:B116,ModelInputs!C111:C116)</f>
        <v>18</v>
      </c>
      <c r="E52" s="7"/>
      <c r="F52" s="14" t="s">
        <v>167</v>
      </c>
      <c r="G52" s="44">
        <f>_xlfn.XLOOKUP(Building_Type,ModelInputs!B$121:B$126,ModelInputs!C$121:C$126)</f>
        <v>24</v>
      </c>
      <c r="H52" s="7"/>
      <c r="I52" s="7"/>
      <c r="J52" s="17"/>
      <c r="K52" s="17"/>
      <c r="L52" s="12"/>
      <c r="P52" s="3"/>
      <c r="Q52" s="3"/>
      <c r="R52" s="3"/>
      <c r="S52" s="3"/>
      <c r="T52" s="3"/>
      <c r="U52" s="3"/>
      <c r="V52" s="3"/>
    </row>
    <row r="53" spans="1:24">
      <c r="A53" s="2"/>
      <c r="B53" s="6"/>
      <c r="C53" s="14" t="s">
        <v>169</v>
      </c>
      <c r="D53" s="43">
        <f>ModelInputs!C93</f>
        <v>0.06</v>
      </c>
      <c r="E53" s="7"/>
      <c r="F53" s="14" t="s">
        <v>110</v>
      </c>
      <c r="G53" s="43">
        <v>0.65</v>
      </c>
      <c r="H53" s="7"/>
      <c r="I53" s="7"/>
      <c r="J53" s="17"/>
      <c r="K53" s="17"/>
      <c r="L53" s="12"/>
      <c r="P53" s="3"/>
      <c r="Q53" s="3"/>
      <c r="R53" s="3"/>
      <c r="S53" s="3"/>
      <c r="T53" s="3"/>
      <c r="U53" s="3"/>
      <c r="V53" s="3"/>
    </row>
    <row r="54" spans="1:24">
      <c r="A54" s="2"/>
      <c r="B54" s="6"/>
      <c r="C54" s="14" t="s">
        <v>170</v>
      </c>
      <c r="D54" s="86">
        <f>ModelInputs!C94</f>
        <v>360</v>
      </c>
      <c r="E54" s="13"/>
      <c r="F54" s="7"/>
      <c r="G54" s="7"/>
      <c r="H54" s="7"/>
      <c r="I54" s="15"/>
      <c r="J54" s="17"/>
      <c r="K54" s="19"/>
      <c r="L54" s="12"/>
      <c r="P54" s="3"/>
      <c r="Q54" s="3"/>
      <c r="R54" s="3"/>
      <c r="S54" s="3"/>
      <c r="T54" s="3"/>
      <c r="U54" s="3"/>
      <c r="V54" s="3"/>
    </row>
    <row r="55" spans="1:24">
      <c r="A55" s="2"/>
      <c r="B55" s="6"/>
      <c r="C55" s="14" t="s">
        <v>12</v>
      </c>
      <c r="D55" s="43">
        <f>ModelInputs!C95</f>
        <v>0.01</v>
      </c>
      <c r="E55" s="13"/>
      <c r="F55" s="7"/>
      <c r="G55" s="7"/>
      <c r="H55" s="7"/>
      <c r="I55" s="16"/>
      <c r="J55" s="20"/>
      <c r="K55" s="17"/>
      <c r="L55" s="12"/>
      <c r="P55" s="3"/>
      <c r="Q55" s="3"/>
      <c r="R55" s="3"/>
      <c r="S55" s="3"/>
      <c r="T55" s="3"/>
      <c r="U55" s="3"/>
      <c r="V55" s="3"/>
    </row>
    <row r="56" spans="1:24">
      <c r="A56" s="2"/>
      <c r="B56" s="6"/>
      <c r="C56" s="28" t="s">
        <v>174</v>
      </c>
      <c r="D56" s="44">
        <v>6</v>
      </c>
      <c r="E56" s="82"/>
      <c r="F56" s="7"/>
      <c r="G56" s="7"/>
      <c r="H56" s="16"/>
      <c r="I56" s="7"/>
      <c r="J56" s="17"/>
      <c r="K56" s="17"/>
      <c r="L56" s="12"/>
      <c r="P56" s="3"/>
      <c r="Q56" s="3"/>
      <c r="R56" s="3"/>
      <c r="S56" s="3"/>
      <c r="T56" s="3"/>
      <c r="U56" s="3"/>
      <c r="V56" s="3"/>
    </row>
    <row r="57" spans="1:24" ht="15" thickBot="1">
      <c r="A57" s="2"/>
      <c r="B57" s="6"/>
      <c r="C57" s="7"/>
      <c r="D57" s="7"/>
      <c r="E57" s="13"/>
      <c r="F57" s="7"/>
      <c r="G57" s="7"/>
      <c r="H57" s="7"/>
      <c r="I57" s="7"/>
      <c r="J57" s="17"/>
      <c r="K57" s="17"/>
      <c r="L57" s="12"/>
      <c r="P57" s="3"/>
      <c r="Q57" s="3"/>
      <c r="R57" s="3"/>
      <c r="S57" s="3"/>
      <c r="T57" s="3"/>
      <c r="U57" s="3"/>
      <c r="V57" s="3"/>
    </row>
    <row r="58" spans="1:24" ht="15.6">
      <c r="B58" s="6"/>
      <c r="C58" s="41" t="s">
        <v>126</v>
      </c>
      <c r="D58" s="39"/>
      <c r="E58" s="39"/>
      <c r="F58" s="39"/>
      <c r="G58" s="39"/>
      <c r="H58" s="39"/>
      <c r="I58" s="39"/>
      <c r="J58" s="39"/>
      <c r="K58" s="97" t="s">
        <v>87</v>
      </c>
      <c r="L58" s="7"/>
      <c r="M58" s="5"/>
      <c r="N58" s="5"/>
      <c r="O58" s="129"/>
      <c r="P58" s="3"/>
      <c r="Q58" s="3"/>
      <c r="R58" s="3"/>
      <c r="S58" s="3"/>
      <c r="T58" s="3"/>
      <c r="U58" s="3"/>
      <c r="V58" s="3"/>
    </row>
    <row r="59" spans="1:24">
      <c r="B59" s="6"/>
      <c r="C59" s="7"/>
      <c r="D59" s="7"/>
      <c r="E59" s="7"/>
      <c r="F59" s="7"/>
      <c r="G59" s="7"/>
      <c r="H59" s="7"/>
      <c r="I59" s="7"/>
      <c r="J59" s="7"/>
      <c r="K59" s="7"/>
      <c r="L59" s="7"/>
      <c r="M59" s="7"/>
      <c r="N59" s="7"/>
      <c r="O59" s="12"/>
      <c r="P59" s="3"/>
      <c r="Q59" s="3"/>
      <c r="R59" s="3"/>
      <c r="S59" s="3"/>
      <c r="T59" s="3"/>
      <c r="U59" s="3"/>
      <c r="V59" s="3"/>
    </row>
    <row r="60" spans="1:24">
      <c r="B60" s="6"/>
      <c r="C60" s="7" t="s">
        <v>20</v>
      </c>
      <c r="D60" s="70">
        <v>1E-3</v>
      </c>
      <c r="E60" s="7"/>
      <c r="F60" s="7"/>
      <c r="G60" s="7"/>
      <c r="H60" s="7"/>
      <c r="I60" s="7"/>
      <c r="J60" s="7"/>
      <c r="K60" s="7"/>
      <c r="L60" s="7"/>
      <c r="M60" s="7"/>
      <c r="N60" s="7"/>
      <c r="O60" s="12"/>
      <c r="P60" s="3"/>
      <c r="Q60" s="3"/>
      <c r="R60" s="3"/>
      <c r="S60" s="3"/>
      <c r="T60" s="3"/>
      <c r="U60" s="3"/>
      <c r="V60" s="3"/>
    </row>
    <row r="61" spans="1:24">
      <c r="B61" s="6"/>
      <c r="C61" s="25"/>
      <c r="D61" s="101">
        <f>SUM(D63:D243)</f>
        <v>-12599999.999999998</v>
      </c>
      <c r="E61" s="101">
        <f>SUM(E63:E243)</f>
        <v>-203305000.00000003</v>
      </c>
      <c r="F61" s="13"/>
      <c r="G61" s="101">
        <f>SUM(G63:G243)</f>
        <v>43650000</v>
      </c>
      <c r="H61" s="101">
        <f>SUM(H63:H243)</f>
        <v>-416378.05683779484</v>
      </c>
      <c r="I61" s="101">
        <f>-Construction_Costs-H61</f>
        <v>-29583621.943162207</v>
      </c>
      <c r="J61" s="101">
        <f>SUM(J63:J243)</f>
        <v>7832378.0568377953</v>
      </c>
      <c r="K61" s="13"/>
      <c r="L61" s="7"/>
      <c r="M61" s="7"/>
      <c r="N61" s="7"/>
      <c r="O61" s="12"/>
      <c r="P61" s="3"/>
      <c r="Q61" s="3"/>
      <c r="R61" s="3"/>
      <c r="S61" s="3"/>
      <c r="T61" s="3"/>
      <c r="U61" s="3"/>
      <c r="V61" s="3"/>
    </row>
    <row r="62" spans="1:24">
      <c r="B62" s="6"/>
      <c r="C62" s="7" t="s">
        <v>32</v>
      </c>
      <c r="D62" s="13" t="s">
        <v>111</v>
      </c>
      <c r="E62" s="13" t="s">
        <v>112</v>
      </c>
      <c r="F62" s="9" t="s">
        <v>171</v>
      </c>
      <c r="G62" s="7" t="s">
        <v>21</v>
      </c>
      <c r="H62" s="7" t="s">
        <v>76</v>
      </c>
      <c r="I62" s="7" t="s">
        <v>108</v>
      </c>
      <c r="J62" s="7" t="s">
        <v>22</v>
      </c>
      <c r="K62" s="13" t="s">
        <v>55</v>
      </c>
      <c r="L62" s="13" t="s">
        <v>172</v>
      </c>
      <c r="M62" s="7"/>
      <c r="N62" s="7"/>
      <c r="O62" s="12"/>
      <c r="P62" s="3"/>
      <c r="Q62" s="3"/>
      <c r="R62" s="3"/>
      <c r="S62" s="3"/>
      <c r="T62" s="3"/>
      <c r="U62" s="3"/>
      <c r="V62" s="3"/>
    </row>
    <row r="63" spans="1:24">
      <c r="B63" s="6"/>
      <c r="C63" s="7">
        <v>0</v>
      </c>
      <c r="D63" s="24">
        <f>-Land_Costs</f>
        <v>-4000000</v>
      </c>
      <c r="E63" s="103">
        <f>-Equity_Amount-D63</f>
        <v>-8600000</v>
      </c>
      <c r="F63" s="53"/>
      <c r="G63" s="24">
        <f t="shared" ref="G63:G94" si="0">IF(C63=SUM(Month_of_Sale,PreDev_Timeline,Construction_Timeline),Sale_Price*(1-D$44),0)</f>
        <v>0</v>
      </c>
      <c r="H63" s="15">
        <v>0</v>
      </c>
      <c r="I63" s="103">
        <f>IF(H63=0,0,-SUM(Primary_Loan_Amount)-SUM(H63:H$63))</f>
        <v>0</v>
      </c>
      <c r="J63" s="24">
        <f t="shared" ref="J63:J94" si="1">SUM(D63,F63,G63)+IF(G63&gt;0,I63)</f>
        <v>-4000000</v>
      </c>
      <c r="K63" s="51">
        <v>0</v>
      </c>
      <c r="L63" s="13">
        <f>IF(C63=0,0,IF(C63&lt;=Expedited_Process,1,0))</f>
        <v>0</v>
      </c>
      <c r="M63" s="72">
        <v>46023</v>
      </c>
      <c r="N63" s="7"/>
      <c r="O63" s="12"/>
      <c r="P63" s="98"/>
      <c r="Q63" s="98"/>
      <c r="R63" s="98"/>
      <c r="S63" s="98"/>
      <c r="T63" s="3"/>
      <c r="U63" s="98"/>
      <c r="V63" s="98"/>
      <c r="W63" s="98"/>
      <c r="X63" s="98"/>
    </row>
    <row r="64" spans="1:24">
      <c r="B64" s="6"/>
      <c r="C64" s="7">
        <v>1</v>
      </c>
      <c r="D64" s="24">
        <f t="shared" ref="D64:D95" si="2">IF(AND(C63&gt;0,E63&gt;=D63),E63,IF(L64=1,-Pre_Development_Costs/PreDev_Timeline,IF(K64=1,MAX(E63,-D$43/Construction_Timeline),0)))</f>
        <v>-83333.333333333328</v>
      </c>
      <c r="E64" s="103">
        <f t="shared" ref="E64:E95" si="3">E63-D64</f>
        <v>-8516666.666666666</v>
      </c>
      <c r="F64" s="53"/>
      <c r="G64" s="24">
        <f t="shared" si="0"/>
        <v>0</v>
      </c>
      <c r="H64" s="15">
        <f>IF(G64&gt;0,0,IF(AND(H63=0,SUM(K64:L64)=0),0,IF(D64=0,PPMT(D$53/12,COUNTIF(D$63:D64,0),D$54,Primary_Loan_Amount),0)))</f>
        <v>0</v>
      </c>
      <c r="I64" s="103">
        <f>-SUM(Primary_Loan_Amount)-SUM(H$63:H64)</f>
        <v>-23634000</v>
      </c>
      <c r="J64" s="24">
        <f t="shared" si="1"/>
        <v>-83333.333333333328</v>
      </c>
      <c r="K64" s="51">
        <f>IF(L64=1,0,IF(SUM(K63:K$64)&gt;=Construction_Timeline,0,1))</f>
        <v>0</v>
      </c>
      <c r="L64" s="13">
        <f t="shared" ref="L64:L95" si="4">IF(C64&lt;=PreDev_Timeline,1,0)</f>
        <v>1</v>
      </c>
      <c r="M64" s="54">
        <f>EDATE(M63,1)</f>
        <v>46054</v>
      </c>
      <c r="N64" s="7"/>
      <c r="O64" s="12"/>
      <c r="P64" s="98"/>
      <c r="Q64" s="98"/>
      <c r="R64" s="98"/>
      <c r="S64" s="98"/>
      <c r="T64" s="3"/>
      <c r="U64" s="98"/>
      <c r="V64" s="98"/>
      <c r="W64" s="98"/>
      <c r="X64" s="98"/>
    </row>
    <row r="65" spans="2:24">
      <c r="B65" s="6"/>
      <c r="C65" s="7">
        <v>2</v>
      </c>
      <c r="D65" s="24">
        <f t="shared" si="2"/>
        <v>-83333.333333333328</v>
      </c>
      <c r="E65" s="103">
        <f t="shared" si="3"/>
        <v>-8433333.3333333321</v>
      </c>
      <c r="F65" s="53"/>
      <c r="G65" s="24">
        <f t="shared" si="0"/>
        <v>0</v>
      </c>
      <c r="H65" s="15">
        <f>IF(G65&gt;0,0,IF(AND(H64=0,SUM(K65:L65)=0),0,IF(D65=0,PPMT(D$53/12,COUNTIF(D$63:D65,0),D$54,Primary_Loan_Amount),0)))</f>
        <v>0</v>
      </c>
      <c r="I65" s="103">
        <f>-SUM(Primary_Loan_Amount)-SUM(H$63:H65)</f>
        <v>-23634000</v>
      </c>
      <c r="J65" s="24">
        <f t="shared" si="1"/>
        <v>-83333.333333333328</v>
      </c>
      <c r="K65" s="51">
        <f>IF(L65=1,0,IF(SUM(K64:K$64)&gt;=Construction_Timeline,0,1))</f>
        <v>0</v>
      </c>
      <c r="L65" s="13">
        <f t="shared" si="4"/>
        <v>1</v>
      </c>
      <c r="M65" s="54">
        <f t="shared" ref="M65:M128" si="5">EDATE(M64,1)</f>
        <v>46082</v>
      </c>
      <c r="N65" s="7"/>
      <c r="O65" s="12"/>
      <c r="P65" s="98"/>
      <c r="Q65" s="98"/>
      <c r="R65" s="98"/>
      <c r="S65" s="98"/>
      <c r="T65" s="3"/>
      <c r="U65" s="98"/>
      <c r="V65" s="98"/>
      <c r="W65" s="98"/>
      <c r="X65" s="98"/>
    </row>
    <row r="66" spans="2:24">
      <c r="B66" s="6"/>
      <c r="C66" s="7">
        <v>3</v>
      </c>
      <c r="D66" s="24">
        <f t="shared" si="2"/>
        <v>-83333.333333333328</v>
      </c>
      <c r="E66" s="103">
        <f t="shared" si="3"/>
        <v>-8349999.9999999991</v>
      </c>
      <c r="F66" s="53"/>
      <c r="G66" s="24">
        <f t="shared" si="0"/>
        <v>0</v>
      </c>
      <c r="H66" s="15">
        <f>IF(G66&gt;0,0,IF(AND(H65=0,SUM(K66:L66)=0),0,IF(D66=0,PPMT(D$53/12,COUNTIF(D$63:D66,0),D$54,Primary_Loan_Amount),0)))</f>
        <v>0</v>
      </c>
      <c r="I66" s="103">
        <f>-SUM(Primary_Loan_Amount)-SUM(H$63:H66)</f>
        <v>-23634000</v>
      </c>
      <c r="J66" s="24">
        <f t="shared" si="1"/>
        <v>-83333.333333333328</v>
      </c>
      <c r="K66" s="51">
        <f>IF(L66=1,0,IF(SUM(K$64:K65)&gt;=Construction_Timeline,0,1))</f>
        <v>0</v>
      </c>
      <c r="L66" s="13">
        <f t="shared" si="4"/>
        <v>1</v>
      </c>
      <c r="M66" s="54">
        <f t="shared" si="5"/>
        <v>46113</v>
      </c>
      <c r="N66" s="7"/>
      <c r="O66" s="12"/>
      <c r="P66" s="98"/>
      <c r="Q66" s="98"/>
      <c r="R66" s="98"/>
      <c r="S66" s="98"/>
      <c r="T66" s="3"/>
      <c r="U66" s="98"/>
      <c r="V66" s="98"/>
      <c r="W66" s="98"/>
      <c r="X66" s="98"/>
    </row>
    <row r="67" spans="2:24">
      <c r="B67" s="6"/>
      <c r="C67" s="7">
        <v>4</v>
      </c>
      <c r="D67" s="24">
        <f t="shared" si="2"/>
        <v>-83333.333333333328</v>
      </c>
      <c r="E67" s="103">
        <f t="shared" si="3"/>
        <v>-8266666.666666666</v>
      </c>
      <c r="F67" s="53"/>
      <c r="G67" s="24">
        <f t="shared" si="0"/>
        <v>0</v>
      </c>
      <c r="H67" s="15">
        <f>IF(G67&gt;0,0,IF(AND(H66=0,SUM(K67:L67)=0),0,IF(D67=0,PPMT(D$53/12,COUNTIF(D$63:D67,0),D$54,Primary_Loan_Amount),0)))</f>
        <v>0</v>
      </c>
      <c r="I67" s="103">
        <f>-SUM(Primary_Loan_Amount)-SUM(H$63:H67)</f>
        <v>-23634000</v>
      </c>
      <c r="J67" s="24">
        <f t="shared" si="1"/>
        <v>-83333.333333333328</v>
      </c>
      <c r="K67" s="51">
        <f>IF(L67=1,0,IF(SUM(K$64:K66)&gt;=Construction_Timeline,0,1))</f>
        <v>0</v>
      </c>
      <c r="L67" s="13">
        <f t="shared" si="4"/>
        <v>1</v>
      </c>
      <c r="M67" s="54">
        <f t="shared" si="5"/>
        <v>46143</v>
      </c>
      <c r="N67" s="7"/>
      <c r="O67" s="12"/>
      <c r="P67" s="98"/>
      <c r="Q67" s="98"/>
      <c r="R67" s="98"/>
      <c r="S67" s="98"/>
      <c r="T67" s="3"/>
      <c r="U67" s="98"/>
      <c r="V67" s="98"/>
      <c r="W67" s="98"/>
      <c r="X67" s="98"/>
    </row>
    <row r="68" spans="2:24">
      <c r="B68" s="6"/>
      <c r="C68" s="7">
        <v>5</v>
      </c>
      <c r="D68" s="24">
        <f t="shared" si="2"/>
        <v>-83333.333333333328</v>
      </c>
      <c r="E68" s="103">
        <f t="shared" si="3"/>
        <v>-8183333.333333333</v>
      </c>
      <c r="F68" s="53"/>
      <c r="G68" s="24">
        <f t="shared" si="0"/>
        <v>0</v>
      </c>
      <c r="H68" s="15">
        <f>IF(G68&gt;0,0,IF(AND(H67=0,SUM(K68:L68)=0),0,IF(D68=0,PPMT(D$53/12,COUNTIF(D$63:D68,0),D$54,Primary_Loan_Amount),0)))</f>
        <v>0</v>
      </c>
      <c r="I68" s="103">
        <f>-SUM(Primary_Loan_Amount)-SUM(H$63:H68)</f>
        <v>-23634000</v>
      </c>
      <c r="J68" s="24">
        <f t="shared" si="1"/>
        <v>-83333.333333333328</v>
      </c>
      <c r="K68" s="51">
        <f>IF(L68=1,0,IF(SUM(K$64:K67)&gt;=Construction_Timeline,0,1))</f>
        <v>0</v>
      </c>
      <c r="L68" s="13">
        <f t="shared" si="4"/>
        <v>1</v>
      </c>
      <c r="M68" s="54">
        <f t="shared" si="5"/>
        <v>46174</v>
      </c>
      <c r="N68" s="7"/>
      <c r="O68" s="12"/>
      <c r="P68" s="98"/>
      <c r="Q68" s="98"/>
      <c r="R68" s="98"/>
      <c r="S68" s="98"/>
      <c r="T68" s="3"/>
      <c r="U68" s="98"/>
      <c r="V68" s="98"/>
      <c r="W68" s="98"/>
      <c r="X68" s="98"/>
    </row>
    <row r="69" spans="2:24">
      <c r="B69" s="6"/>
      <c r="C69" s="7">
        <v>6</v>
      </c>
      <c r="D69" s="24">
        <f t="shared" si="2"/>
        <v>-83333.333333333328</v>
      </c>
      <c r="E69" s="103">
        <f t="shared" si="3"/>
        <v>-8100000</v>
      </c>
      <c r="F69" s="53"/>
      <c r="G69" s="24">
        <f t="shared" si="0"/>
        <v>0</v>
      </c>
      <c r="H69" s="15">
        <f>IF(G69&gt;0,0,IF(AND(H68=0,SUM(K69:L69)=0),0,IF(D69=0,PPMT(D$53/12,COUNTIF(D$63:D69,0),D$54,Primary_Loan_Amount),0)))</f>
        <v>0</v>
      </c>
      <c r="I69" s="103">
        <f>-SUM(Primary_Loan_Amount)-SUM(H$63:H69)</f>
        <v>-23634000</v>
      </c>
      <c r="J69" s="24">
        <f t="shared" si="1"/>
        <v>-83333.333333333328</v>
      </c>
      <c r="K69" s="51">
        <f>IF(L69=1,0,IF(SUM(K$64:K68)&gt;=Construction_Timeline,0,1))</f>
        <v>0</v>
      </c>
      <c r="L69" s="13">
        <f t="shared" si="4"/>
        <v>1</v>
      </c>
      <c r="M69" s="54">
        <f t="shared" si="5"/>
        <v>46204</v>
      </c>
      <c r="N69" s="7"/>
      <c r="O69" s="12"/>
      <c r="P69" s="98"/>
      <c r="Q69" s="98"/>
      <c r="R69" s="98"/>
      <c r="S69" s="98"/>
      <c r="T69" s="3"/>
      <c r="U69" s="98"/>
      <c r="V69" s="98"/>
      <c r="W69" s="98"/>
      <c r="X69" s="98"/>
    </row>
    <row r="70" spans="2:24">
      <c r="B70" s="6"/>
      <c r="C70" s="7">
        <v>7</v>
      </c>
      <c r="D70" s="24">
        <f t="shared" si="2"/>
        <v>-83333.333333333328</v>
      </c>
      <c r="E70" s="103">
        <f t="shared" si="3"/>
        <v>-8016666.666666667</v>
      </c>
      <c r="F70" s="53"/>
      <c r="G70" s="24">
        <f t="shared" si="0"/>
        <v>0</v>
      </c>
      <c r="H70" s="15">
        <f>IF(G70&gt;0,0,IF(AND(H69=0,SUM(K70:L70)=0),0,IF(D70=0,PPMT(D$53/12,COUNTIF(D$63:D70,0),D$54,Primary_Loan_Amount),0)))</f>
        <v>0</v>
      </c>
      <c r="I70" s="103">
        <f>-SUM(Primary_Loan_Amount)-SUM(H$63:H70)</f>
        <v>-23634000</v>
      </c>
      <c r="J70" s="24">
        <f t="shared" si="1"/>
        <v>-83333.333333333328</v>
      </c>
      <c r="K70" s="51">
        <f>IF(L70=1,0,IF(SUM(K$64:K69)&gt;=Construction_Timeline,0,1))</f>
        <v>0</v>
      </c>
      <c r="L70" s="13">
        <f t="shared" si="4"/>
        <v>1</v>
      </c>
      <c r="M70" s="54">
        <f t="shared" si="5"/>
        <v>46235</v>
      </c>
      <c r="N70" s="7"/>
      <c r="O70" s="12"/>
      <c r="P70" s="98"/>
      <c r="Q70" s="98"/>
      <c r="R70" s="98"/>
      <c r="S70" s="98"/>
      <c r="T70" s="3"/>
      <c r="U70" s="98"/>
      <c r="V70" s="98"/>
      <c r="W70" s="98"/>
      <c r="X70" s="98"/>
    </row>
    <row r="71" spans="2:24">
      <c r="B71" s="6"/>
      <c r="C71" s="7">
        <v>8</v>
      </c>
      <c r="D71" s="24">
        <f t="shared" si="2"/>
        <v>-83333.333333333328</v>
      </c>
      <c r="E71" s="103">
        <f t="shared" si="3"/>
        <v>-7933333.333333334</v>
      </c>
      <c r="F71" s="53"/>
      <c r="G71" s="24">
        <f t="shared" si="0"/>
        <v>0</v>
      </c>
      <c r="H71" s="15">
        <f>IF(G71&gt;0,0,IF(AND(H70=0,SUM(K71:L71)=0),0,IF(D71=0,PPMT(D$53/12,COUNTIF(D$63:D71,0),D$54,Primary_Loan_Amount),0)))</f>
        <v>0</v>
      </c>
      <c r="I71" s="103">
        <f>-SUM(Primary_Loan_Amount)-SUM(H$63:H71)</f>
        <v>-23634000</v>
      </c>
      <c r="J71" s="24">
        <f t="shared" si="1"/>
        <v>-83333.333333333328</v>
      </c>
      <c r="K71" s="51">
        <f>IF(L71=1,0,IF(SUM(K$64:K70)&gt;=Construction_Timeline,0,1))</f>
        <v>0</v>
      </c>
      <c r="L71" s="13">
        <f t="shared" si="4"/>
        <v>1</v>
      </c>
      <c r="M71" s="54">
        <f t="shared" si="5"/>
        <v>46266</v>
      </c>
      <c r="N71" s="7"/>
      <c r="O71" s="12"/>
      <c r="P71" s="98"/>
      <c r="Q71" s="98"/>
      <c r="R71" s="98"/>
      <c r="S71" s="98"/>
      <c r="T71" s="3"/>
      <c r="U71" s="98"/>
      <c r="V71" s="98"/>
      <c r="W71" s="98"/>
      <c r="X71" s="98"/>
    </row>
    <row r="72" spans="2:24">
      <c r="B72" s="6"/>
      <c r="C72" s="7">
        <v>9</v>
      </c>
      <c r="D72" s="24">
        <f t="shared" si="2"/>
        <v>-83333.333333333328</v>
      </c>
      <c r="E72" s="103">
        <f t="shared" si="3"/>
        <v>-7850000.0000000009</v>
      </c>
      <c r="F72" s="53"/>
      <c r="G72" s="24">
        <f t="shared" si="0"/>
        <v>0</v>
      </c>
      <c r="H72" s="15">
        <f>IF(G72&gt;0,0,IF(AND(H71=0,SUM(K72:L72)=0),0,IF(D72=0,PPMT(D$53/12,COUNTIF(D$63:D72,0),D$54,Primary_Loan_Amount),0)))</f>
        <v>0</v>
      </c>
      <c r="I72" s="103">
        <f>-SUM(Primary_Loan_Amount)-SUM(H$63:H72)</f>
        <v>-23634000</v>
      </c>
      <c r="J72" s="24">
        <f t="shared" si="1"/>
        <v>-83333.333333333328</v>
      </c>
      <c r="K72" s="51">
        <f>IF(L72=1,0,IF(SUM(K$64:K71)&gt;=Construction_Timeline,0,1))</f>
        <v>0</v>
      </c>
      <c r="L72" s="13">
        <f t="shared" si="4"/>
        <v>1</v>
      </c>
      <c r="M72" s="54">
        <f t="shared" si="5"/>
        <v>46296</v>
      </c>
      <c r="N72" s="7"/>
      <c r="O72" s="12"/>
      <c r="P72" s="98"/>
      <c r="Q72" s="98"/>
      <c r="R72" s="98"/>
      <c r="S72" s="98"/>
      <c r="T72" s="3"/>
      <c r="U72" s="98"/>
      <c r="V72" s="98"/>
      <c r="W72" s="98"/>
      <c r="X72" s="98"/>
    </row>
    <row r="73" spans="2:24">
      <c r="B73" s="6"/>
      <c r="C73" s="7">
        <v>10</v>
      </c>
      <c r="D73" s="24">
        <f t="shared" si="2"/>
        <v>-83333.333333333328</v>
      </c>
      <c r="E73" s="103">
        <f t="shared" si="3"/>
        <v>-7766666.6666666679</v>
      </c>
      <c r="F73" s="53"/>
      <c r="G73" s="24">
        <f t="shared" si="0"/>
        <v>0</v>
      </c>
      <c r="H73" s="15">
        <f>IF(G73&gt;0,0,IF(AND(H72=0,SUM(K73:L73)=0),0,IF(D73=0,PPMT(D$53/12,COUNTIF(D$63:D73,0),D$54,Primary_Loan_Amount),0)))</f>
        <v>0</v>
      </c>
      <c r="I73" s="103">
        <f>-SUM(Primary_Loan_Amount)-SUM(H$63:H73)</f>
        <v>-23634000</v>
      </c>
      <c r="J73" s="24">
        <f t="shared" si="1"/>
        <v>-83333.333333333328</v>
      </c>
      <c r="K73" s="51">
        <f>IF(L73=1,0,IF(SUM(K$64:K72)&gt;=Construction_Timeline,0,1))</f>
        <v>0</v>
      </c>
      <c r="L73" s="13">
        <f t="shared" si="4"/>
        <v>1</v>
      </c>
      <c r="M73" s="54">
        <f t="shared" si="5"/>
        <v>46327</v>
      </c>
      <c r="N73" s="7"/>
      <c r="O73" s="12"/>
      <c r="P73" s="98"/>
      <c r="Q73" s="98"/>
      <c r="R73" s="98"/>
      <c r="S73" s="98"/>
      <c r="T73" s="3"/>
      <c r="U73" s="98"/>
      <c r="V73" s="98"/>
      <c r="W73" s="98"/>
      <c r="X73" s="98"/>
    </row>
    <row r="74" spans="2:24">
      <c r="B74" s="6"/>
      <c r="C74" s="7">
        <v>11</v>
      </c>
      <c r="D74" s="24">
        <f t="shared" si="2"/>
        <v>-83333.333333333328</v>
      </c>
      <c r="E74" s="103">
        <f t="shared" si="3"/>
        <v>-7683333.3333333349</v>
      </c>
      <c r="F74" s="53"/>
      <c r="G74" s="24">
        <f t="shared" si="0"/>
        <v>0</v>
      </c>
      <c r="H74" s="15">
        <f>IF(G74&gt;0,0,IF(AND(H73=0,SUM(K74:L74)=0),0,IF(D74=0,PPMT(D$53/12,COUNTIF(D$63:D74,0),D$54,Primary_Loan_Amount),0)))</f>
        <v>0</v>
      </c>
      <c r="I74" s="103">
        <f>-SUM(Primary_Loan_Amount)-SUM(H$63:H74)</f>
        <v>-23634000</v>
      </c>
      <c r="J74" s="24">
        <f t="shared" si="1"/>
        <v>-83333.333333333328</v>
      </c>
      <c r="K74" s="51">
        <f>IF(L74=1,0,IF(SUM(K$64:K73)&gt;=Construction_Timeline,0,1))</f>
        <v>0</v>
      </c>
      <c r="L74" s="13">
        <f t="shared" si="4"/>
        <v>1</v>
      </c>
      <c r="M74" s="54">
        <f t="shared" si="5"/>
        <v>46357</v>
      </c>
      <c r="N74" s="7"/>
      <c r="O74" s="12"/>
      <c r="P74" s="98"/>
      <c r="Q74" s="98"/>
      <c r="R74" s="98"/>
      <c r="S74" s="98"/>
      <c r="T74" s="3"/>
      <c r="U74" s="98"/>
      <c r="V74" s="98"/>
      <c r="W74" s="98"/>
      <c r="X74" s="98"/>
    </row>
    <row r="75" spans="2:24">
      <c r="B75" s="6"/>
      <c r="C75" s="7">
        <v>12</v>
      </c>
      <c r="D75" s="24">
        <f t="shared" si="2"/>
        <v>-83333.333333333328</v>
      </c>
      <c r="E75" s="103">
        <f t="shared" si="3"/>
        <v>-7600000.0000000019</v>
      </c>
      <c r="F75" s="53"/>
      <c r="G75" s="24">
        <f t="shared" si="0"/>
        <v>0</v>
      </c>
      <c r="H75" s="15">
        <f>IF(G75&gt;0,0,IF(AND(H74=0,SUM(K75:L75)=0),0,IF(D75=0,PPMT(D$53/12,COUNTIF(D$63:D75,0),D$54,Primary_Loan_Amount),0)))</f>
        <v>0</v>
      </c>
      <c r="I75" s="103">
        <f>-SUM(Primary_Loan_Amount)-SUM(H$63:H75)</f>
        <v>-23634000</v>
      </c>
      <c r="J75" s="24">
        <f t="shared" si="1"/>
        <v>-83333.333333333328</v>
      </c>
      <c r="K75" s="51">
        <f>IF(L75=1,0,IF(SUM(K$64:K74)&gt;=Construction_Timeline,0,1))</f>
        <v>0</v>
      </c>
      <c r="L75" s="13">
        <f t="shared" si="4"/>
        <v>1</v>
      </c>
      <c r="M75" s="54">
        <f t="shared" si="5"/>
        <v>46388</v>
      </c>
      <c r="N75" s="7"/>
      <c r="O75" s="12"/>
      <c r="P75" s="98"/>
      <c r="Q75" s="98"/>
      <c r="R75" s="98"/>
      <c r="S75" s="98"/>
      <c r="T75" s="3"/>
      <c r="U75" s="98"/>
      <c r="V75" s="98"/>
      <c r="W75" s="98"/>
      <c r="X75" s="98"/>
    </row>
    <row r="76" spans="2:24">
      <c r="B76" s="6"/>
      <c r="C76" s="7">
        <v>13</v>
      </c>
      <c r="D76" s="24">
        <f t="shared" si="2"/>
        <v>-83333.333333333328</v>
      </c>
      <c r="E76" s="103">
        <f t="shared" si="3"/>
        <v>-7516666.6666666688</v>
      </c>
      <c r="F76" s="53"/>
      <c r="G76" s="24">
        <f t="shared" si="0"/>
        <v>0</v>
      </c>
      <c r="H76" s="15">
        <f>IF(G76&gt;0,0,IF(AND(H75=0,SUM(K76:L76)=0),0,IF(D76=0,PPMT(D$53/12,COUNTIF(D$63:D76,0),D$54,Primary_Loan_Amount),0)))</f>
        <v>0</v>
      </c>
      <c r="I76" s="103">
        <f>-SUM(Primary_Loan_Amount)-SUM(H$63:H76)</f>
        <v>-23634000</v>
      </c>
      <c r="J76" s="24">
        <f t="shared" si="1"/>
        <v>-83333.333333333328</v>
      </c>
      <c r="K76" s="51">
        <f>IF(L76=1,0,IF(SUM(K$64:K75)&gt;=Construction_Timeline,0,1))</f>
        <v>0</v>
      </c>
      <c r="L76" s="13">
        <f t="shared" si="4"/>
        <v>1</v>
      </c>
      <c r="M76" s="54">
        <f t="shared" si="5"/>
        <v>46419</v>
      </c>
      <c r="N76" s="7"/>
      <c r="O76" s="12"/>
      <c r="P76" s="98"/>
      <c r="Q76" s="98"/>
      <c r="R76" s="98"/>
      <c r="S76" s="98"/>
      <c r="T76" s="3"/>
      <c r="U76" s="98"/>
      <c r="V76" s="98"/>
      <c r="W76" s="98"/>
      <c r="X76" s="98"/>
    </row>
    <row r="77" spans="2:24">
      <c r="B77" s="6"/>
      <c r="C77" s="7">
        <v>14</v>
      </c>
      <c r="D77" s="24">
        <f t="shared" si="2"/>
        <v>-83333.333333333328</v>
      </c>
      <c r="E77" s="103">
        <f t="shared" si="3"/>
        <v>-7433333.3333333358</v>
      </c>
      <c r="F77" s="53"/>
      <c r="G77" s="24">
        <f t="shared" si="0"/>
        <v>0</v>
      </c>
      <c r="H77" s="15">
        <f>IF(G77&gt;0,0,IF(AND(H76=0,SUM(K77:L77)=0),0,IF(D77=0,PPMT(D$53/12,COUNTIF(D$63:D77,0),D$54,Primary_Loan_Amount),0)))</f>
        <v>0</v>
      </c>
      <c r="I77" s="103">
        <f>-SUM(Primary_Loan_Amount)-SUM(H$63:H77)</f>
        <v>-23634000</v>
      </c>
      <c r="J77" s="24">
        <f t="shared" si="1"/>
        <v>-83333.333333333328</v>
      </c>
      <c r="K77" s="51">
        <f>IF(L77=1,0,IF(SUM(K$64:K76)&gt;=Construction_Timeline,0,1))</f>
        <v>0</v>
      </c>
      <c r="L77" s="13">
        <f t="shared" si="4"/>
        <v>1</v>
      </c>
      <c r="M77" s="54">
        <f t="shared" si="5"/>
        <v>46447</v>
      </c>
      <c r="N77" s="7"/>
      <c r="O77" s="12"/>
      <c r="P77" s="98"/>
      <c r="Q77" s="98"/>
      <c r="R77" s="98"/>
      <c r="S77" s="98"/>
      <c r="T77" s="3"/>
      <c r="U77" s="98"/>
      <c r="V77" s="98"/>
      <c r="W77" s="98"/>
      <c r="X77" s="98"/>
    </row>
    <row r="78" spans="2:24">
      <c r="B78" s="6"/>
      <c r="C78" s="7">
        <v>15</v>
      </c>
      <c r="D78" s="24">
        <f t="shared" si="2"/>
        <v>-83333.333333333328</v>
      </c>
      <c r="E78" s="103">
        <f t="shared" si="3"/>
        <v>-7350000.0000000028</v>
      </c>
      <c r="F78" s="53"/>
      <c r="G78" s="24">
        <f t="shared" si="0"/>
        <v>0</v>
      </c>
      <c r="H78" s="15">
        <f>IF(G78&gt;0,0,IF(AND(H77=0,SUM(K78:L78)=0),0,IF(D78=0,PPMT(D$53/12,COUNTIF(D$63:D78,0),D$54,Primary_Loan_Amount),0)))</f>
        <v>0</v>
      </c>
      <c r="I78" s="103">
        <f>-SUM(Primary_Loan_Amount)-SUM(H$63:H78)</f>
        <v>-23634000</v>
      </c>
      <c r="J78" s="24">
        <f t="shared" si="1"/>
        <v>-83333.333333333328</v>
      </c>
      <c r="K78" s="51">
        <f>IF(L78=1,0,IF(SUM(K$64:K77)&gt;=Construction_Timeline,0,1))</f>
        <v>0</v>
      </c>
      <c r="L78" s="13">
        <f t="shared" si="4"/>
        <v>1</v>
      </c>
      <c r="M78" s="54">
        <f t="shared" si="5"/>
        <v>46478</v>
      </c>
      <c r="N78" s="7"/>
      <c r="O78" s="12"/>
      <c r="P78" s="98"/>
      <c r="Q78" s="98"/>
      <c r="R78" s="98"/>
      <c r="S78" s="98"/>
      <c r="T78" s="3"/>
      <c r="U78" s="98"/>
      <c r="V78" s="98"/>
      <c r="W78" s="98"/>
      <c r="X78" s="98"/>
    </row>
    <row r="79" spans="2:24" customFormat="1">
      <c r="B79" s="6"/>
      <c r="C79" s="7">
        <v>16</v>
      </c>
      <c r="D79" s="24">
        <f t="shared" si="2"/>
        <v>-83333.333333333328</v>
      </c>
      <c r="E79" s="103">
        <f t="shared" si="3"/>
        <v>-7266666.6666666698</v>
      </c>
      <c r="F79" s="53"/>
      <c r="G79" s="24">
        <f t="shared" si="0"/>
        <v>0</v>
      </c>
      <c r="H79" s="15">
        <f>IF(G79&gt;0,0,IF(AND(H78=0,SUM(K79:L79)=0),0,IF(D79=0,PPMT(D$53/12,COUNTIF(D$63:D79,0),D$54,Primary_Loan_Amount),0)))</f>
        <v>0</v>
      </c>
      <c r="I79" s="103">
        <f>-SUM(Primary_Loan_Amount)-SUM(H$63:H79)</f>
        <v>-23634000</v>
      </c>
      <c r="J79" s="24">
        <f t="shared" si="1"/>
        <v>-83333.333333333328</v>
      </c>
      <c r="K79" s="51">
        <f>IF(L79=1,0,IF(SUM(K$64:K78)&gt;=Construction_Timeline,0,1))</f>
        <v>0</v>
      </c>
      <c r="L79" s="13">
        <f t="shared" si="4"/>
        <v>1</v>
      </c>
      <c r="M79" s="54">
        <f t="shared" si="5"/>
        <v>46508</v>
      </c>
      <c r="N79" s="7"/>
      <c r="O79" s="12"/>
      <c r="P79" s="98"/>
      <c r="Q79" s="98"/>
      <c r="R79" s="98"/>
      <c r="S79" s="98"/>
      <c r="U79" s="98"/>
      <c r="V79" s="98"/>
      <c r="W79" s="98"/>
      <c r="X79" s="98"/>
    </row>
    <row r="80" spans="2:24" customFormat="1">
      <c r="B80" s="6"/>
      <c r="C80" s="7">
        <v>17</v>
      </c>
      <c r="D80" s="24">
        <f t="shared" si="2"/>
        <v>-83333.333333333328</v>
      </c>
      <c r="E80" s="103">
        <f t="shared" si="3"/>
        <v>-7183333.3333333367</v>
      </c>
      <c r="F80" s="53"/>
      <c r="G80" s="24">
        <f t="shared" si="0"/>
        <v>0</v>
      </c>
      <c r="H80" s="15">
        <f>IF(G80&gt;0,0,IF(AND(H79=0,SUM(K80:L80)=0),0,IF(D80=0,PPMT(D$53/12,COUNTIF(D$63:D80,0),D$54,Primary_Loan_Amount),0)))</f>
        <v>0</v>
      </c>
      <c r="I80" s="103">
        <f>-SUM(Primary_Loan_Amount)-SUM(H$63:H80)</f>
        <v>-23634000</v>
      </c>
      <c r="J80" s="24">
        <f t="shared" si="1"/>
        <v>-83333.333333333328</v>
      </c>
      <c r="K80" s="51">
        <f>IF(L80=1,0,IF(SUM(K$64:K79)&gt;=Construction_Timeline,0,1))</f>
        <v>0</v>
      </c>
      <c r="L80" s="13">
        <f t="shared" si="4"/>
        <v>1</v>
      </c>
      <c r="M80" s="54">
        <f t="shared" si="5"/>
        <v>46539</v>
      </c>
      <c r="N80" s="7"/>
      <c r="O80" s="12"/>
      <c r="P80" s="98"/>
      <c r="Q80" s="98"/>
      <c r="R80" s="98"/>
      <c r="S80" s="98"/>
      <c r="U80" s="98"/>
      <c r="V80" s="98"/>
      <c r="W80" s="98"/>
      <c r="X80" s="98"/>
    </row>
    <row r="81" spans="2:24" customFormat="1">
      <c r="B81" s="6"/>
      <c r="C81" s="7">
        <v>18</v>
      </c>
      <c r="D81" s="24">
        <f t="shared" si="2"/>
        <v>-83333.333333333328</v>
      </c>
      <c r="E81" s="103">
        <f t="shared" si="3"/>
        <v>-7100000.0000000037</v>
      </c>
      <c r="F81" s="53"/>
      <c r="G81" s="24">
        <f t="shared" si="0"/>
        <v>0</v>
      </c>
      <c r="H81" s="15">
        <f>IF(G81&gt;0,0,IF(AND(H80=0,SUM(K81:L81)=0),0,IF(D81=0,PPMT(D$53/12,COUNTIF(D$63:D81,0),D$54,Primary_Loan_Amount),0)))</f>
        <v>0</v>
      </c>
      <c r="I81" s="103">
        <f>-SUM(Primary_Loan_Amount)-SUM(H$63:H81)</f>
        <v>-23634000</v>
      </c>
      <c r="J81" s="24">
        <f t="shared" si="1"/>
        <v>-83333.333333333328</v>
      </c>
      <c r="K81" s="51">
        <f>IF(L81=1,0,IF(SUM(K$64:K80)&gt;=Construction_Timeline,0,1))</f>
        <v>0</v>
      </c>
      <c r="L81" s="13">
        <f t="shared" si="4"/>
        <v>1</v>
      </c>
      <c r="M81" s="54">
        <f t="shared" si="5"/>
        <v>46569</v>
      </c>
      <c r="N81" s="7"/>
      <c r="O81" s="12"/>
      <c r="P81" s="98"/>
      <c r="Q81" s="98"/>
      <c r="R81" s="98"/>
      <c r="S81" s="98"/>
      <c r="U81" s="98"/>
      <c r="V81" s="98"/>
      <c r="W81" s="98"/>
      <c r="X81" s="98"/>
    </row>
    <row r="82" spans="2:24" customFormat="1">
      <c r="B82" s="6"/>
      <c r="C82" s="7">
        <v>19</v>
      </c>
      <c r="D82" s="24">
        <f t="shared" si="2"/>
        <v>-83333.333333333328</v>
      </c>
      <c r="E82" s="103">
        <f t="shared" si="3"/>
        <v>-7016666.6666666707</v>
      </c>
      <c r="F82" s="53"/>
      <c r="G82" s="24">
        <f t="shared" si="0"/>
        <v>0</v>
      </c>
      <c r="H82" s="15">
        <f>IF(G82&gt;0,0,IF(AND(H81=0,SUM(K82:L82)=0),0,IF(D82=0,PPMT(D$53/12,COUNTIF(D$63:D82,0),D$54,Primary_Loan_Amount),0)))</f>
        <v>0</v>
      </c>
      <c r="I82" s="103">
        <f>-SUM(Primary_Loan_Amount)-SUM(H$63:H82)</f>
        <v>-23634000</v>
      </c>
      <c r="J82" s="24">
        <f t="shared" si="1"/>
        <v>-83333.333333333328</v>
      </c>
      <c r="K82" s="51">
        <f>IF(L82=1,0,IF(SUM(K$64:K81)&gt;=Construction_Timeline,0,1))</f>
        <v>0</v>
      </c>
      <c r="L82" s="13">
        <f t="shared" si="4"/>
        <v>1</v>
      </c>
      <c r="M82" s="54">
        <f t="shared" si="5"/>
        <v>46600</v>
      </c>
      <c r="N82" s="7"/>
      <c r="O82" s="12"/>
      <c r="P82" s="98"/>
      <c r="Q82" s="98"/>
      <c r="R82" s="98"/>
      <c r="S82" s="98"/>
      <c r="U82" s="98"/>
      <c r="V82" s="98"/>
      <c r="W82" s="98"/>
      <c r="X82" s="98"/>
    </row>
    <row r="83" spans="2:24" customFormat="1">
      <c r="B83" s="6"/>
      <c r="C83" s="7">
        <v>20</v>
      </c>
      <c r="D83" s="24">
        <f t="shared" si="2"/>
        <v>-83333.333333333328</v>
      </c>
      <c r="E83" s="103">
        <f t="shared" si="3"/>
        <v>-6933333.3333333377</v>
      </c>
      <c r="F83" s="53"/>
      <c r="G83" s="24">
        <f t="shared" si="0"/>
        <v>0</v>
      </c>
      <c r="H83" s="15">
        <f>IF(G83&gt;0,0,IF(AND(H82=0,SUM(K83:L83)=0),0,IF(D83=0,PPMT(D$53/12,COUNTIF(D$63:D83,0),D$54,Primary_Loan_Amount),0)))</f>
        <v>0</v>
      </c>
      <c r="I83" s="103">
        <f>-SUM(Primary_Loan_Amount)-SUM(H$63:H83)</f>
        <v>-23634000</v>
      </c>
      <c r="J83" s="24">
        <f t="shared" si="1"/>
        <v>-83333.333333333328</v>
      </c>
      <c r="K83" s="51">
        <f>IF(L83=1,0,IF(SUM(K$64:K82)&gt;=Construction_Timeline,0,1))</f>
        <v>0</v>
      </c>
      <c r="L83" s="13">
        <f t="shared" si="4"/>
        <v>1</v>
      </c>
      <c r="M83" s="54">
        <f t="shared" si="5"/>
        <v>46631</v>
      </c>
      <c r="N83" s="7"/>
      <c r="O83" s="12"/>
      <c r="P83" s="98"/>
      <c r="Q83" s="98"/>
      <c r="R83" s="98"/>
      <c r="S83" s="98"/>
      <c r="U83" s="98"/>
      <c r="V83" s="98"/>
      <c r="W83" s="98"/>
      <c r="X83" s="98"/>
    </row>
    <row r="84" spans="2:24" customFormat="1">
      <c r="B84" s="6"/>
      <c r="C84" s="7">
        <v>21</v>
      </c>
      <c r="D84" s="24">
        <f t="shared" si="2"/>
        <v>-83333.333333333328</v>
      </c>
      <c r="E84" s="103">
        <f t="shared" si="3"/>
        <v>-6850000.0000000047</v>
      </c>
      <c r="F84" s="53"/>
      <c r="G84" s="24">
        <f t="shared" si="0"/>
        <v>0</v>
      </c>
      <c r="H84" s="15">
        <f>IF(G84&gt;0,0,IF(AND(H83=0,SUM(K84:L84)=0),0,IF(D84=0,PPMT(D$53/12,COUNTIF(D$63:D84,0),D$54,Primary_Loan_Amount),0)))</f>
        <v>0</v>
      </c>
      <c r="I84" s="103">
        <f>-SUM(Primary_Loan_Amount)-SUM(H$63:H84)</f>
        <v>-23634000</v>
      </c>
      <c r="J84" s="24">
        <f t="shared" si="1"/>
        <v>-83333.333333333328</v>
      </c>
      <c r="K84" s="51">
        <f>IF(L84=1,0,IF(SUM(K$64:K83)&gt;=Construction_Timeline,0,1))</f>
        <v>0</v>
      </c>
      <c r="L84" s="13">
        <f t="shared" si="4"/>
        <v>1</v>
      </c>
      <c r="M84" s="54">
        <f t="shared" si="5"/>
        <v>46661</v>
      </c>
      <c r="N84" s="7"/>
      <c r="O84" s="12"/>
      <c r="P84" s="98"/>
      <c r="Q84" s="98"/>
      <c r="R84" s="98"/>
      <c r="S84" s="98"/>
      <c r="U84" s="98"/>
      <c r="V84" s="98"/>
      <c r="W84" s="98"/>
      <c r="X84" s="98"/>
    </row>
    <row r="85" spans="2:24" customFormat="1">
      <c r="B85" s="6"/>
      <c r="C85" s="7">
        <v>22</v>
      </c>
      <c r="D85" s="24">
        <f t="shared" si="2"/>
        <v>-83333.333333333328</v>
      </c>
      <c r="E85" s="103">
        <f t="shared" si="3"/>
        <v>-6766666.6666666716</v>
      </c>
      <c r="F85" s="53"/>
      <c r="G85" s="24">
        <f t="shared" si="0"/>
        <v>0</v>
      </c>
      <c r="H85" s="15">
        <f>IF(G85&gt;0,0,IF(AND(H84=0,SUM(K85:L85)=0),0,IF(D85=0,PPMT(D$53/12,COUNTIF(D$63:D85,0),D$54,Primary_Loan_Amount),0)))</f>
        <v>0</v>
      </c>
      <c r="I85" s="103">
        <f>-SUM(Primary_Loan_Amount)-SUM(H$63:H85)</f>
        <v>-23634000</v>
      </c>
      <c r="J85" s="24">
        <f t="shared" si="1"/>
        <v>-83333.333333333328</v>
      </c>
      <c r="K85" s="51">
        <f>IF(L85=1,0,IF(SUM(K$64:K84)&gt;=Construction_Timeline,0,1))</f>
        <v>0</v>
      </c>
      <c r="L85" s="13">
        <f t="shared" si="4"/>
        <v>1</v>
      </c>
      <c r="M85" s="54">
        <f t="shared" si="5"/>
        <v>46692</v>
      </c>
      <c r="N85" s="7"/>
      <c r="O85" s="12"/>
      <c r="P85" s="98"/>
      <c r="Q85" s="98"/>
      <c r="R85" s="98"/>
      <c r="S85" s="98"/>
      <c r="U85" s="98"/>
      <c r="V85" s="98"/>
      <c r="W85" s="98"/>
      <c r="X85" s="98"/>
    </row>
    <row r="86" spans="2:24" customFormat="1">
      <c r="B86" s="6"/>
      <c r="C86" s="7">
        <v>23</v>
      </c>
      <c r="D86" s="24">
        <f t="shared" si="2"/>
        <v>-83333.333333333328</v>
      </c>
      <c r="E86" s="103">
        <f t="shared" si="3"/>
        <v>-6683333.3333333386</v>
      </c>
      <c r="F86" s="53"/>
      <c r="G86" s="24">
        <f t="shared" si="0"/>
        <v>0</v>
      </c>
      <c r="H86" s="15">
        <f>IF(G86&gt;0,0,IF(AND(H85=0,SUM(K86:L86)=0),0,IF(D86=0,PPMT(D$53/12,COUNTIF(D$63:D86,0),D$54,Primary_Loan_Amount),0)))</f>
        <v>0</v>
      </c>
      <c r="I86" s="103">
        <f>-SUM(Primary_Loan_Amount)-SUM(H$63:H86)</f>
        <v>-23634000</v>
      </c>
      <c r="J86" s="24">
        <f t="shared" si="1"/>
        <v>-83333.333333333328</v>
      </c>
      <c r="K86" s="51">
        <f>IF(L86=1,0,IF(SUM(K$64:K85)&gt;=Construction_Timeline,0,1))</f>
        <v>0</v>
      </c>
      <c r="L86" s="13">
        <f t="shared" si="4"/>
        <v>1</v>
      </c>
      <c r="M86" s="54">
        <f t="shared" si="5"/>
        <v>46722</v>
      </c>
      <c r="N86" s="7"/>
      <c r="O86" s="12"/>
      <c r="P86" s="98"/>
      <c r="Q86" s="98"/>
      <c r="R86" s="98"/>
      <c r="S86" s="98"/>
      <c r="U86" s="98"/>
      <c r="V86" s="98"/>
      <c r="W86" s="98"/>
      <c r="X86" s="98"/>
    </row>
    <row r="87" spans="2:24" customFormat="1">
      <c r="B87" s="6"/>
      <c r="C87" s="7">
        <v>24</v>
      </c>
      <c r="D87" s="24">
        <f t="shared" si="2"/>
        <v>-83333.333333333328</v>
      </c>
      <c r="E87" s="103">
        <f t="shared" si="3"/>
        <v>-6600000.0000000056</v>
      </c>
      <c r="F87" s="53"/>
      <c r="G87" s="24">
        <f t="shared" si="0"/>
        <v>0</v>
      </c>
      <c r="H87" s="15">
        <f>IF(G87&gt;0,0,IF(AND(H86=0,SUM(K87:L87)=0),0,IF(D87=0,PPMT(D$53/12,COUNTIF(D$63:D87,0),D$54,Primary_Loan_Amount),0)))</f>
        <v>0</v>
      </c>
      <c r="I87" s="103">
        <f>-SUM(Primary_Loan_Amount)-SUM(H$63:H87)</f>
        <v>-23634000</v>
      </c>
      <c r="J87" s="24">
        <f t="shared" si="1"/>
        <v>-83333.333333333328</v>
      </c>
      <c r="K87" s="51">
        <f>IF(L87=1,0,IF(SUM(K$64:K86)&gt;=Construction_Timeline,0,1))</f>
        <v>0</v>
      </c>
      <c r="L87" s="13">
        <f t="shared" si="4"/>
        <v>1</v>
      </c>
      <c r="M87" s="54">
        <f t="shared" si="5"/>
        <v>46753</v>
      </c>
      <c r="N87" s="7"/>
      <c r="O87" s="12"/>
      <c r="P87" s="98"/>
      <c r="Q87" s="98"/>
      <c r="R87" s="98"/>
      <c r="S87" s="98"/>
      <c r="U87" s="98"/>
      <c r="V87" s="98"/>
      <c r="W87" s="98"/>
      <c r="X87" s="98"/>
    </row>
    <row r="88" spans="2:24" customFormat="1">
      <c r="B88" s="6"/>
      <c r="C88" s="7">
        <v>25</v>
      </c>
      <c r="D88" s="24">
        <f t="shared" si="2"/>
        <v>-1313000</v>
      </c>
      <c r="E88" s="103">
        <f t="shared" si="3"/>
        <v>-5287000.0000000056</v>
      </c>
      <c r="F88" s="53"/>
      <c r="G88" s="24">
        <f t="shared" si="0"/>
        <v>0</v>
      </c>
      <c r="H88" s="15">
        <f>IF(G88&gt;0,0,IF(AND(H87=0,SUM(K88:L88)=0),0,IF(D88=0,PPMT(D$53/12,COUNTIF(D$63:D88,0),D$54,Primary_Loan_Amount),0)))</f>
        <v>0</v>
      </c>
      <c r="I88" s="103">
        <f>-SUM(Primary_Loan_Amount)-SUM(H$63:H88)</f>
        <v>-23634000</v>
      </c>
      <c r="J88" s="24">
        <f t="shared" si="1"/>
        <v>-1313000</v>
      </c>
      <c r="K88" s="51">
        <f>IF(L88=1,0,IF(SUM(K$64:K87)&gt;=Construction_Timeline,0,1))</f>
        <v>1</v>
      </c>
      <c r="L88" s="13">
        <f t="shared" si="4"/>
        <v>0</v>
      </c>
      <c r="M88" s="54">
        <f t="shared" si="5"/>
        <v>46784</v>
      </c>
      <c r="N88" s="7"/>
      <c r="O88" s="12"/>
      <c r="P88" s="98"/>
      <c r="Q88" s="98"/>
      <c r="R88" s="98"/>
      <c r="S88" s="98"/>
      <c r="U88" s="98"/>
      <c r="V88" s="98"/>
      <c r="W88" s="98"/>
      <c r="X88" s="98"/>
    </row>
    <row r="89" spans="2:24" customFormat="1">
      <c r="B89" s="6"/>
      <c r="C89" s="7">
        <v>26</v>
      </c>
      <c r="D89" s="24">
        <f t="shared" si="2"/>
        <v>-1313000</v>
      </c>
      <c r="E89" s="103">
        <f t="shared" si="3"/>
        <v>-3974000.0000000056</v>
      </c>
      <c r="F89" s="53"/>
      <c r="G89" s="24">
        <f t="shared" si="0"/>
        <v>0</v>
      </c>
      <c r="H89" s="15">
        <f>IF(G89&gt;0,0,IF(AND(H88=0,SUM(K89:L89)=0),0,IF(D89=0,PPMT(D$53/12,COUNTIF(D$63:D89,0),D$54,Primary_Loan_Amount),0)))</f>
        <v>0</v>
      </c>
      <c r="I89" s="103">
        <f>-SUM(Primary_Loan_Amount)-SUM(H$63:H89)</f>
        <v>-23634000</v>
      </c>
      <c r="J89" s="24">
        <f t="shared" si="1"/>
        <v>-1313000</v>
      </c>
      <c r="K89" s="51">
        <f>IF(L89=1,0,IF(SUM(K$64:K88)&gt;=Construction_Timeline,0,1))</f>
        <v>1</v>
      </c>
      <c r="L89" s="13">
        <f t="shared" si="4"/>
        <v>0</v>
      </c>
      <c r="M89" s="54">
        <f t="shared" si="5"/>
        <v>46813</v>
      </c>
      <c r="N89" s="7"/>
      <c r="O89" s="12"/>
      <c r="P89" s="98"/>
      <c r="Q89" s="98"/>
      <c r="R89" s="98"/>
      <c r="S89" s="98"/>
      <c r="U89" s="98"/>
      <c r="V89" s="98"/>
      <c r="W89" s="98"/>
      <c r="X89" s="98"/>
    </row>
    <row r="90" spans="2:24" customFormat="1">
      <c r="B90" s="6"/>
      <c r="C90" s="7">
        <v>27</v>
      </c>
      <c r="D90" s="24">
        <f t="shared" si="2"/>
        <v>-1313000</v>
      </c>
      <c r="E90" s="103">
        <f t="shared" si="3"/>
        <v>-2661000.0000000056</v>
      </c>
      <c r="F90" s="53"/>
      <c r="G90" s="24">
        <f t="shared" si="0"/>
        <v>0</v>
      </c>
      <c r="H90" s="15">
        <f>IF(G90&gt;0,0,IF(AND(H89=0,SUM(K90:L90)=0),0,IF(D90=0,PPMT(D$53/12,COUNTIF(D$63:D90,0),D$54,Primary_Loan_Amount),0)))</f>
        <v>0</v>
      </c>
      <c r="I90" s="103">
        <f>-SUM(Primary_Loan_Amount)-SUM(H$63:H90)</f>
        <v>-23634000</v>
      </c>
      <c r="J90" s="24">
        <f t="shared" si="1"/>
        <v>-1313000</v>
      </c>
      <c r="K90" s="51">
        <f>IF(L90=1,0,IF(SUM(K$64:K89)&gt;=Construction_Timeline,0,1))</f>
        <v>1</v>
      </c>
      <c r="L90" s="13">
        <f t="shared" si="4"/>
        <v>0</v>
      </c>
      <c r="M90" s="54">
        <f t="shared" si="5"/>
        <v>46844</v>
      </c>
      <c r="N90" s="7"/>
      <c r="O90" s="12"/>
      <c r="P90" s="98"/>
      <c r="Q90" s="98"/>
      <c r="R90" s="98"/>
      <c r="S90" s="98"/>
      <c r="U90" s="98"/>
      <c r="V90" s="98"/>
      <c r="W90" s="98"/>
      <c r="X90" s="98"/>
    </row>
    <row r="91" spans="2:24" customFormat="1">
      <c r="B91" s="6"/>
      <c r="C91" s="7">
        <v>28</v>
      </c>
      <c r="D91" s="24">
        <f t="shared" si="2"/>
        <v>-1313000</v>
      </c>
      <c r="E91" s="103">
        <f t="shared" si="3"/>
        <v>-1348000.0000000056</v>
      </c>
      <c r="F91" s="53"/>
      <c r="G91" s="24">
        <f t="shared" si="0"/>
        <v>0</v>
      </c>
      <c r="H91" s="15">
        <f>IF(G91&gt;0,0,IF(AND(H90=0,SUM(K91:L91)=0),0,IF(D91=0,PPMT(D$53/12,COUNTIF(D$63:D91,0),D$54,Primary_Loan_Amount),0)))</f>
        <v>0</v>
      </c>
      <c r="I91" s="103">
        <f>-SUM(Primary_Loan_Amount)-SUM(H$63:H91)</f>
        <v>-23634000</v>
      </c>
      <c r="J91" s="24">
        <f t="shared" si="1"/>
        <v>-1313000</v>
      </c>
      <c r="K91" s="51">
        <f>IF(L91=1,0,IF(SUM(K$64:K90)&gt;=Construction_Timeline,0,1))</f>
        <v>1</v>
      </c>
      <c r="L91" s="13">
        <f t="shared" si="4"/>
        <v>0</v>
      </c>
      <c r="M91" s="54">
        <f t="shared" si="5"/>
        <v>46874</v>
      </c>
      <c r="N91" s="7"/>
      <c r="O91" s="12"/>
      <c r="P91" s="98"/>
      <c r="Q91" s="98"/>
      <c r="R91" s="98"/>
      <c r="S91" s="98"/>
      <c r="U91" s="98"/>
      <c r="V91" s="98"/>
      <c r="W91" s="98"/>
      <c r="X91" s="98"/>
    </row>
    <row r="92" spans="2:24" customFormat="1">
      <c r="B92" s="6"/>
      <c r="C92" s="7">
        <v>29</v>
      </c>
      <c r="D92" s="24">
        <f t="shared" si="2"/>
        <v>-1313000</v>
      </c>
      <c r="E92" s="103">
        <f t="shared" si="3"/>
        <v>-35000.000000005588</v>
      </c>
      <c r="F92" s="53"/>
      <c r="G92" s="24">
        <f t="shared" si="0"/>
        <v>0</v>
      </c>
      <c r="H92" s="15">
        <f>IF(G92&gt;0,0,IF(AND(H91=0,SUM(K92:L92)=0),0,IF(D92=0,PPMT(D$53/12,COUNTIF(D$63:D92,0),D$54,Primary_Loan_Amount),0)))</f>
        <v>0</v>
      </c>
      <c r="I92" s="103">
        <f>-SUM(Primary_Loan_Amount)-SUM(H$63:H92)</f>
        <v>-23634000</v>
      </c>
      <c r="J92" s="24">
        <f t="shared" si="1"/>
        <v>-1313000</v>
      </c>
      <c r="K92" s="51">
        <f>IF(L92=1,0,IF(SUM(K$64:K91)&gt;=Construction_Timeline,0,1))</f>
        <v>1</v>
      </c>
      <c r="L92" s="13">
        <f t="shared" si="4"/>
        <v>0</v>
      </c>
      <c r="M92" s="54">
        <f t="shared" si="5"/>
        <v>46905</v>
      </c>
      <c r="N92" s="7"/>
      <c r="O92" s="12"/>
      <c r="P92" s="98"/>
      <c r="Q92" s="98"/>
      <c r="R92" s="98"/>
      <c r="S92" s="98"/>
      <c r="U92" s="98"/>
      <c r="V92" s="98"/>
      <c r="W92" s="98"/>
      <c r="X92" s="98"/>
    </row>
    <row r="93" spans="2:24" customFormat="1">
      <c r="B93" s="6"/>
      <c r="C93" s="7">
        <v>30</v>
      </c>
      <c r="D93" s="24">
        <f t="shared" si="2"/>
        <v>-35000.000000005588</v>
      </c>
      <c r="E93" s="103">
        <f t="shared" si="3"/>
        <v>0</v>
      </c>
      <c r="F93" s="53"/>
      <c r="G93" s="24">
        <f t="shared" si="0"/>
        <v>0</v>
      </c>
      <c r="H93" s="15">
        <f>IF(G93&gt;0,0,IF(AND(H92=0,SUM(K93:L93)=0),0,IF(D93=0,PPMT(D$53/12,COUNTIF(D$63:D93,0),D$54,Primary_Loan_Amount),0)))</f>
        <v>0</v>
      </c>
      <c r="I93" s="103">
        <f>-SUM(Primary_Loan_Amount)-SUM(H$63:H93)</f>
        <v>-23634000</v>
      </c>
      <c r="J93" s="24">
        <f t="shared" si="1"/>
        <v>-35000.000000005588</v>
      </c>
      <c r="K93" s="51">
        <f>IF(L93=1,0,IF(SUM(K$64:K92)&gt;=Construction_Timeline,0,1))</f>
        <v>1</v>
      </c>
      <c r="L93" s="13">
        <f t="shared" si="4"/>
        <v>0</v>
      </c>
      <c r="M93" s="54">
        <f t="shared" si="5"/>
        <v>46935</v>
      </c>
      <c r="N93" s="7"/>
      <c r="O93" s="12"/>
      <c r="P93" s="98"/>
      <c r="Q93" s="98"/>
      <c r="R93" s="98"/>
      <c r="S93" s="98"/>
      <c r="U93" s="98"/>
      <c r="V93" s="98"/>
      <c r="W93" s="98"/>
      <c r="X93" s="98"/>
    </row>
    <row r="94" spans="2:24" customFormat="1">
      <c r="B94" s="6"/>
      <c r="C94" s="7">
        <v>31</v>
      </c>
      <c r="D94" s="24">
        <f t="shared" si="2"/>
        <v>0</v>
      </c>
      <c r="E94" s="103">
        <f t="shared" si="3"/>
        <v>0</v>
      </c>
      <c r="F94" s="53"/>
      <c r="G94" s="24">
        <f t="shared" si="0"/>
        <v>0</v>
      </c>
      <c r="H94" s="15">
        <f>IF(G94&gt;0,0,IF(AND(H93=0,SUM(K94:L94)=0),0,IF(D94=0,PPMT(D$53/12,COUNTIF(D$63:D94,0),D$54,Primary_Loan_Amount),0)))</f>
        <v>-23527.771114601488</v>
      </c>
      <c r="I94" s="103">
        <f>-SUM(Primary_Loan_Amount)-SUM(H$63:H94)</f>
        <v>-23610472.228885397</v>
      </c>
      <c r="J94" s="24">
        <f t="shared" si="1"/>
        <v>0</v>
      </c>
      <c r="K94" s="51">
        <f>IF(L94=1,0,IF(SUM(K$64:K93)&gt;=Construction_Timeline,0,1))</f>
        <v>1</v>
      </c>
      <c r="L94" s="13">
        <f t="shared" si="4"/>
        <v>0</v>
      </c>
      <c r="M94" s="54">
        <f t="shared" si="5"/>
        <v>46966</v>
      </c>
      <c r="N94" s="7"/>
      <c r="O94" s="12"/>
      <c r="P94" s="98"/>
      <c r="Q94" s="98"/>
      <c r="R94" s="98"/>
      <c r="S94" s="98"/>
      <c r="U94" s="98"/>
      <c r="V94" s="98"/>
      <c r="W94" s="98"/>
      <c r="X94" s="98"/>
    </row>
    <row r="95" spans="2:24" customFormat="1">
      <c r="B95" s="6"/>
      <c r="C95" s="7">
        <v>32</v>
      </c>
      <c r="D95" s="24">
        <f t="shared" si="2"/>
        <v>0</v>
      </c>
      <c r="E95" s="103">
        <f t="shared" si="3"/>
        <v>0</v>
      </c>
      <c r="F95" s="53"/>
      <c r="G95" s="24">
        <f t="shared" ref="G95:G126" si="6">IF(C95=SUM(Month_of_Sale,PreDev_Timeline,Construction_Timeline),Sale_Price*(1-D$44),0)</f>
        <v>0</v>
      </c>
      <c r="H95" s="15">
        <f>IF(G95&gt;0,0,IF(AND(H94=0,SUM(K95:L95)=0),0,IF(D95=0,PPMT(D$53/12,COUNTIF(D$63:D95,0),D$54,Primary_Loan_Amount),0)))</f>
        <v>-23645.409970174493</v>
      </c>
      <c r="I95" s="103">
        <f>-SUM(Primary_Loan_Amount)-SUM(H$63:H95)</f>
        <v>-23586826.818915226</v>
      </c>
      <c r="J95" s="24">
        <f t="shared" ref="J95:J126" si="7">SUM(D95,F95,G95)+IF(G95&gt;0,I95)</f>
        <v>0</v>
      </c>
      <c r="K95" s="51">
        <f>IF(L95=1,0,IF(SUM(K$64:K94)&gt;=Construction_Timeline,0,1))</f>
        <v>1</v>
      </c>
      <c r="L95" s="13">
        <f t="shared" si="4"/>
        <v>0</v>
      </c>
      <c r="M95" s="54">
        <f t="shared" si="5"/>
        <v>46997</v>
      </c>
      <c r="N95" s="7"/>
      <c r="O95" s="12"/>
      <c r="P95" s="98"/>
      <c r="Q95" s="98"/>
      <c r="R95" s="98"/>
      <c r="S95" s="98"/>
      <c r="U95" s="98"/>
      <c r="V95" s="98"/>
      <c r="W95" s="98"/>
      <c r="X95" s="98"/>
    </row>
    <row r="96" spans="2:24" customFormat="1">
      <c r="B96" s="6"/>
      <c r="C96" s="7">
        <v>33</v>
      </c>
      <c r="D96" s="24">
        <f t="shared" ref="D96:D127" si="8">IF(AND(C95&gt;0,E95&gt;=D95),E95,IF(L96=1,-Pre_Development_Costs/PreDev_Timeline,IF(K96=1,MAX(E95,-D$43/Construction_Timeline),0)))</f>
        <v>0</v>
      </c>
      <c r="E96" s="103">
        <f t="shared" ref="E96:E127" si="9">E95-D96</f>
        <v>0</v>
      </c>
      <c r="F96" s="53"/>
      <c r="G96" s="24">
        <f t="shared" si="6"/>
        <v>0</v>
      </c>
      <c r="H96" s="15">
        <f>IF(G96&gt;0,0,IF(AND(H95=0,SUM(K96:L96)=0),0,IF(D96=0,PPMT(D$53/12,COUNTIF(D$63:D96,0),D$54,Primary_Loan_Amount),0)))</f>
        <v>-23763.637020025366</v>
      </c>
      <c r="I96" s="103">
        <f>-SUM(Primary_Loan_Amount)-SUM(H$63:H96)</f>
        <v>-23563063.1818952</v>
      </c>
      <c r="J96" s="24">
        <f t="shared" si="7"/>
        <v>0</v>
      </c>
      <c r="K96" s="51">
        <f>IF(L96=1,0,IF(SUM(K$64:K95)&gt;=Construction_Timeline,0,1))</f>
        <v>1</v>
      </c>
      <c r="L96" s="13">
        <f t="shared" ref="L96:L127" si="10">IF(C96&lt;=PreDev_Timeline,1,0)</f>
        <v>0</v>
      </c>
      <c r="M96" s="54">
        <f t="shared" si="5"/>
        <v>47027</v>
      </c>
      <c r="N96" s="7"/>
      <c r="O96" s="12"/>
      <c r="P96" s="98"/>
      <c r="Q96" s="98"/>
      <c r="R96" s="98"/>
      <c r="S96" s="98"/>
      <c r="U96" s="98"/>
      <c r="V96" s="98"/>
      <c r="W96" s="98"/>
      <c r="X96" s="98"/>
    </row>
    <row r="97" spans="2:24">
      <c r="B97" s="6"/>
      <c r="C97" s="7">
        <v>34</v>
      </c>
      <c r="D97" s="24">
        <f t="shared" si="8"/>
        <v>0</v>
      </c>
      <c r="E97" s="103">
        <f t="shared" si="9"/>
        <v>0</v>
      </c>
      <c r="F97" s="53"/>
      <c r="G97" s="24">
        <f t="shared" si="6"/>
        <v>0</v>
      </c>
      <c r="H97" s="15">
        <f>IF(G97&gt;0,0,IF(AND(H96=0,SUM(K97:L97)=0),0,IF(D97=0,PPMT(D$53/12,COUNTIF(D$63:D97,0),D$54,Primary_Loan_Amount),0)))</f>
        <v>-23882.455205125498</v>
      </c>
      <c r="I97" s="103">
        <f>-SUM(Primary_Loan_Amount)-SUM(H$63:H97)</f>
        <v>-23539180.726690073</v>
      </c>
      <c r="J97" s="24">
        <f t="shared" si="7"/>
        <v>0</v>
      </c>
      <c r="K97" s="51">
        <f>IF(L97=1,0,IF(SUM(K$64:K96)&gt;=Construction_Timeline,0,1))</f>
        <v>1</v>
      </c>
      <c r="L97" s="13">
        <f t="shared" si="10"/>
        <v>0</v>
      </c>
      <c r="M97" s="54">
        <f t="shared" si="5"/>
        <v>47058</v>
      </c>
      <c r="N97" s="7"/>
      <c r="O97" s="12"/>
      <c r="P97" s="98"/>
      <c r="Q97" s="98"/>
      <c r="R97" s="98"/>
      <c r="S97" s="98"/>
      <c r="T97" s="3"/>
      <c r="U97" s="98"/>
      <c r="V97" s="98"/>
      <c r="W97" s="98"/>
      <c r="X97" s="98"/>
    </row>
    <row r="98" spans="2:24">
      <c r="B98" s="6"/>
      <c r="C98" s="7">
        <v>35</v>
      </c>
      <c r="D98" s="24">
        <f t="shared" si="8"/>
        <v>0</v>
      </c>
      <c r="E98" s="103">
        <f t="shared" si="9"/>
        <v>0</v>
      </c>
      <c r="F98" s="53"/>
      <c r="G98" s="24">
        <f t="shared" si="6"/>
        <v>0</v>
      </c>
      <c r="H98" s="15">
        <f>IF(G98&gt;0,0,IF(AND(H97=0,SUM(K98:L98)=0),0,IF(D98=0,PPMT(D$53/12,COUNTIF(D$63:D98,0),D$54,Primary_Loan_Amount),0)))</f>
        <v>-24001.867481151123</v>
      </c>
      <c r="I98" s="103">
        <f>-SUM(Primary_Loan_Amount)-SUM(H$63:H98)</f>
        <v>-23515178.859208923</v>
      </c>
      <c r="J98" s="24">
        <f t="shared" si="7"/>
        <v>0</v>
      </c>
      <c r="K98" s="51">
        <f>IF(L98=1,0,IF(SUM(K$64:K97)&gt;=Construction_Timeline,0,1))</f>
        <v>1</v>
      </c>
      <c r="L98" s="13">
        <f t="shared" si="10"/>
        <v>0</v>
      </c>
      <c r="M98" s="54">
        <f t="shared" si="5"/>
        <v>47088</v>
      </c>
      <c r="N98" s="7"/>
      <c r="O98" s="12"/>
      <c r="P98" s="98"/>
      <c r="Q98" s="98"/>
      <c r="R98" s="98"/>
      <c r="S98" s="98"/>
      <c r="T98" s="3"/>
      <c r="U98" s="98"/>
      <c r="V98" s="98"/>
      <c r="W98" s="98"/>
      <c r="X98" s="98"/>
    </row>
    <row r="99" spans="2:24">
      <c r="B99" s="6"/>
      <c r="C99" s="7">
        <v>36</v>
      </c>
      <c r="D99" s="24">
        <f t="shared" si="8"/>
        <v>0</v>
      </c>
      <c r="E99" s="103">
        <f t="shared" si="9"/>
        <v>0</v>
      </c>
      <c r="F99" s="53"/>
      <c r="G99" s="24">
        <f t="shared" si="6"/>
        <v>0</v>
      </c>
      <c r="H99" s="15">
        <f>IF(G99&gt;0,0,IF(AND(H98=0,SUM(K99:L99)=0),0,IF(D99=0,PPMT(D$53/12,COUNTIF(D$63:D99,0),D$54,Primary_Loan_Amount),0)))</f>
        <v>-24121.876818556881</v>
      </c>
      <c r="I99" s="103">
        <f>-SUM(Primary_Loan_Amount)-SUM(H$63:H99)</f>
        <v>-23491056.982390366</v>
      </c>
      <c r="J99" s="24">
        <f t="shared" si="7"/>
        <v>0</v>
      </c>
      <c r="K99" s="51">
        <f>IF(L99=1,0,IF(SUM(K$64:K98)&gt;=Construction_Timeline,0,1))</f>
        <v>1</v>
      </c>
      <c r="L99" s="13">
        <f t="shared" si="10"/>
        <v>0</v>
      </c>
      <c r="M99" s="54">
        <f t="shared" si="5"/>
        <v>47119</v>
      </c>
      <c r="N99" s="7"/>
      <c r="O99" s="12"/>
      <c r="P99" s="98"/>
      <c r="Q99" s="98"/>
      <c r="R99" s="98"/>
      <c r="S99" s="98"/>
      <c r="T99" s="3"/>
      <c r="U99" s="98"/>
      <c r="V99" s="98"/>
      <c r="W99" s="98"/>
      <c r="X99" s="98"/>
    </row>
    <row r="100" spans="2:24">
      <c r="B100" s="6"/>
      <c r="C100" s="7">
        <v>37</v>
      </c>
      <c r="D100" s="24">
        <f t="shared" si="8"/>
        <v>0</v>
      </c>
      <c r="E100" s="103">
        <f t="shared" si="9"/>
        <v>0</v>
      </c>
      <c r="F100" s="53"/>
      <c r="G100" s="24">
        <f t="shared" si="6"/>
        <v>0</v>
      </c>
      <c r="H100" s="15">
        <f>IF(G100&gt;0,0,IF(AND(H99=0,SUM(K100:L100)=0),0,IF(D100=0,PPMT(D$53/12,COUNTIF(D$63:D100,0),D$54,Primary_Loan_Amount),0)))</f>
        <v>-24242.486202649659</v>
      </c>
      <c r="I100" s="103">
        <f>-SUM(Primary_Loan_Amount)-SUM(H$63:H100)</f>
        <v>-23466814.496187717</v>
      </c>
      <c r="J100" s="24">
        <f t="shared" si="7"/>
        <v>0</v>
      </c>
      <c r="K100" s="51">
        <f>IF(L100=1,0,IF(SUM(K$64:K99)&gt;=Construction_Timeline,0,1))</f>
        <v>1</v>
      </c>
      <c r="L100" s="13">
        <f t="shared" si="10"/>
        <v>0</v>
      </c>
      <c r="M100" s="54">
        <f t="shared" si="5"/>
        <v>47150</v>
      </c>
      <c r="N100" s="7"/>
      <c r="O100" s="12"/>
      <c r="P100" s="98"/>
      <c r="Q100" s="98"/>
      <c r="R100" s="98"/>
      <c r="S100" s="98"/>
      <c r="T100" s="3"/>
      <c r="U100" s="98"/>
      <c r="V100" s="98"/>
      <c r="W100" s="98"/>
      <c r="X100" s="98"/>
    </row>
    <row r="101" spans="2:24">
      <c r="B101" s="6"/>
      <c r="C101" s="7">
        <v>38</v>
      </c>
      <c r="D101" s="24">
        <f t="shared" si="8"/>
        <v>0</v>
      </c>
      <c r="E101" s="103">
        <f t="shared" si="9"/>
        <v>0</v>
      </c>
      <c r="F101" s="53"/>
      <c r="G101" s="24">
        <f t="shared" si="6"/>
        <v>0</v>
      </c>
      <c r="H101" s="15">
        <f>IF(G101&gt;0,0,IF(AND(H100=0,SUM(K101:L101)=0),0,IF(D101=0,PPMT(D$53/12,COUNTIF(D$63:D101,0),D$54,Primary_Loan_Amount),0)))</f>
        <v>-24363.698633662909</v>
      </c>
      <c r="I101" s="103">
        <f>-SUM(Primary_Loan_Amount)-SUM(H$63:H101)</f>
        <v>-23442450.797554053</v>
      </c>
      <c r="J101" s="24">
        <f t="shared" si="7"/>
        <v>0</v>
      </c>
      <c r="K101" s="51">
        <f>IF(L101=1,0,IF(SUM(K$64:K100)&gt;=Construction_Timeline,0,1))</f>
        <v>1</v>
      </c>
      <c r="L101" s="13">
        <f t="shared" si="10"/>
        <v>0</v>
      </c>
      <c r="M101" s="54">
        <f t="shared" si="5"/>
        <v>47178</v>
      </c>
      <c r="N101" s="7"/>
      <c r="O101" s="12"/>
      <c r="P101" s="98"/>
      <c r="Q101" s="98"/>
      <c r="R101" s="98"/>
      <c r="S101" s="98"/>
      <c r="T101" s="3"/>
      <c r="U101" s="98"/>
      <c r="V101" s="98"/>
      <c r="W101" s="98"/>
      <c r="X101" s="98"/>
    </row>
    <row r="102" spans="2:24">
      <c r="B102" s="6"/>
      <c r="C102" s="7">
        <v>39</v>
      </c>
      <c r="D102" s="24">
        <f t="shared" si="8"/>
        <v>0</v>
      </c>
      <c r="E102" s="103">
        <f t="shared" si="9"/>
        <v>0</v>
      </c>
      <c r="F102" s="53"/>
      <c r="G102" s="24">
        <f t="shared" si="6"/>
        <v>0</v>
      </c>
      <c r="H102" s="15">
        <f>IF(G102&gt;0,0,IF(AND(H101=0,SUM(K102:L102)=0),0,IF(D102=0,PPMT(D$53/12,COUNTIF(D$63:D102,0),D$54,Primary_Loan_Amount),0)))</f>
        <v>-24485.517126831226</v>
      </c>
      <c r="I102" s="103">
        <f>-SUM(Primary_Loan_Amount)-SUM(H$63:H102)</f>
        <v>-23417965.280427221</v>
      </c>
      <c r="J102" s="24">
        <f t="shared" si="7"/>
        <v>0</v>
      </c>
      <c r="K102" s="51">
        <f>IF(L102=1,0,IF(SUM(K$64:K101)&gt;=Construction_Timeline,0,1))</f>
        <v>1</v>
      </c>
      <c r="L102" s="13">
        <f t="shared" si="10"/>
        <v>0</v>
      </c>
      <c r="M102" s="54">
        <f t="shared" si="5"/>
        <v>47209</v>
      </c>
      <c r="N102" s="7"/>
      <c r="O102" s="12"/>
      <c r="P102" s="98"/>
      <c r="Q102" s="98"/>
      <c r="R102" s="98"/>
      <c r="S102" s="98"/>
      <c r="T102" s="3"/>
      <c r="U102" s="98"/>
      <c r="V102" s="98"/>
      <c r="W102" s="98"/>
      <c r="X102" s="98"/>
    </row>
    <row r="103" spans="2:24">
      <c r="B103" s="6"/>
      <c r="C103" s="7">
        <v>40</v>
      </c>
      <c r="D103" s="24">
        <f t="shared" si="8"/>
        <v>0</v>
      </c>
      <c r="E103" s="103">
        <f t="shared" si="9"/>
        <v>0</v>
      </c>
      <c r="F103" s="53"/>
      <c r="G103" s="24">
        <f t="shared" si="6"/>
        <v>0</v>
      </c>
      <c r="H103" s="15">
        <f>IF(G103&gt;0,0,IF(AND(H102=0,SUM(K103:L103)=0),0,IF(D103=0,PPMT(D$53/12,COUNTIF(D$63:D103,0),D$54,Primary_Loan_Amount),0)))</f>
        <v>-24607.944712465382</v>
      </c>
      <c r="I103" s="103">
        <f>-SUM(Primary_Loan_Amount)-SUM(H$63:H103)</f>
        <v>-23393357.335714757</v>
      </c>
      <c r="J103" s="24">
        <f t="shared" si="7"/>
        <v>0</v>
      </c>
      <c r="K103" s="51">
        <f>IF(L103=1,0,IF(SUM(K$64:K102)&gt;=Construction_Timeline,0,1))</f>
        <v>1</v>
      </c>
      <c r="L103" s="13">
        <f t="shared" si="10"/>
        <v>0</v>
      </c>
      <c r="M103" s="54">
        <f t="shared" si="5"/>
        <v>47239</v>
      </c>
      <c r="N103" s="7"/>
      <c r="O103" s="12"/>
      <c r="P103" s="98"/>
      <c r="Q103" s="98"/>
      <c r="R103" s="98"/>
      <c r="S103" s="98"/>
      <c r="T103" s="3"/>
      <c r="U103" s="98"/>
      <c r="V103" s="98"/>
      <c r="W103" s="98"/>
      <c r="X103" s="98"/>
    </row>
    <row r="104" spans="2:24">
      <c r="B104" s="6"/>
      <c r="C104" s="7">
        <v>41</v>
      </c>
      <c r="D104" s="24">
        <f t="shared" si="8"/>
        <v>0</v>
      </c>
      <c r="E104" s="103">
        <f t="shared" si="9"/>
        <v>0</v>
      </c>
      <c r="F104" s="53"/>
      <c r="G104" s="24">
        <f t="shared" si="6"/>
        <v>0</v>
      </c>
      <c r="H104" s="15">
        <f>IF(G104&gt;0,0,IF(AND(H103=0,SUM(K104:L104)=0),0,IF(D104=0,PPMT(D$53/12,COUNTIF(D$63:D104,0),D$54,Primary_Loan_Amount),0)))</f>
        <v>-24730.984436027709</v>
      </c>
      <c r="I104" s="103">
        <f>-SUM(Primary_Loan_Amount)-SUM(H$63:H104)</f>
        <v>-23368626.35127873</v>
      </c>
      <c r="J104" s="24">
        <f t="shared" si="7"/>
        <v>0</v>
      </c>
      <c r="K104" s="51">
        <f>IF(L104=1,0,IF(SUM(K$64:K103)&gt;=Construction_Timeline,0,1))</f>
        <v>1</v>
      </c>
      <c r="L104" s="13">
        <f t="shared" si="10"/>
        <v>0</v>
      </c>
      <c r="M104" s="54">
        <f t="shared" si="5"/>
        <v>47270</v>
      </c>
      <c r="N104" s="7"/>
      <c r="O104" s="12"/>
      <c r="P104" s="98"/>
      <c r="Q104" s="98"/>
      <c r="R104" s="98"/>
      <c r="S104" s="98"/>
      <c r="T104" s="3"/>
      <c r="U104" s="98"/>
      <c r="V104" s="98"/>
      <c r="W104" s="98"/>
      <c r="X104" s="98"/>
    </row>
    <row r="105" spans="2:24">
      <c r="B105" s="6"/>
      <c r="C105" s="7">
        <v>42</v>
      </c>
      <c r="D105" s="24">
        <f t="shared" si="8"/>
        <v>0</v>
      </c>
      <c r="E105" s="103">
        <f t="shared" si="9"/>
        <v>0</v>
      </c>
      <c r="F105" s="53"/>
      <c r="G105" s="24">
        <f t="shared" si="6"/>
        <v>0</v>
      </c>
      <c r="H105" s="15">
        <f>IF(G105&gt;0,0,IF(AND(H104=0,SUM(K105:L105)=0),0,IF(D105=0,PPMT(D$53/12,COUNTIF(D$63:D105,0),D$54,Primary_Loan_Amount),0)))</f>
        <v>-24854.639358207845</v>
      </c>
      <c r="I105" s="103">
        <f>-SUM(Primary_Loan_Amount)-SUM(H$63:H105)</f>
        <v>-23343771.711920522</v>
      </c>
      <c r="J105" s="24">
        <f t="shared" si="7"/>
        <v>0</v>
      </c>
      <c r="K105" s="51">
        <f>IF(L105=1,0,IF(SUM(K$64:K104)&gt;=Construction_Timeline,0,1))</f>
        <v>1</v>
      </c>
      <c r="L105" s="13">
        <f t="shared" si="10"/>
        <v>0</v>
      </c>
      <c r="M105" s="54">
        <f t="shared" si="5"/>
        <v>47300</v>
      </c>
      <c r="N105" s="7"/>
      <c r="O105" s="12"/>
      <c r="P105" s="98"/>
      <c r="Q105" s="98"/>
      <c r="R105" s="98"/>
      <c r="S105" s="98"/>
      <c r="T105" s="3"/>
      <c r="U105" s="98"/>
      <c r="V105" s="98"/>
      <c r="W105" s="98"/>
      <c r="X105" s="98"/>
    </row>
    <row r="106" spans="2:24">
      <c r="B106" s="6"/>
      <c r="C106" s="7">
        <v>43</v>
      </c>
      <c r="D106" s="24">
        <f t="shared" si="8"/>
        <v>0</v>
      </c>
      <c r="E106" s="103">
        <f t="shared" si="9"/>
        <v>0</v>
      </c>
      <c r="F106" s="53"/>
      <c r="G106" s="24">
        <f t="shared" si="6"/>
        <v>0</v>
      </c>
      <c r="H106" s="15">
        <f>IF(G106&gt;0,0,IF(AND(H105=0,SUM(K106:L106)=0),0,IF(D106=0,PPMT(D$53/12,COUNTIF(D$63:D106,0),D$54,Primary_Loan_Amount),0)))</f>
        <v>-24978.912554998886</v>
      </c>
      <c r="I106" s="103">
        <f>-SUM(Primary_Loan_Amount)-SUM(H$63:H106)</f>
        <v>-23318792.79936552</v>
      </c>
      <c r="J106" s="24">
        <f t="shared" si="7"/>
        <v>0</v>
      </c>
      <c r="K106" s="51">
        <f>IF(L106=1,0,IF(SUM(K$64:K105)&gt;=Construction_Timeline,0,1))</f>
        <v>0</v>
      </c>
      <c r="L106" s="13">
        <f t="shared" si="10"/>
        <v>0</v>
      </c>
      <c r="M106" s="54">
        <f t="shared" si="5"/>
        <v>47331</v>
      </c>
      <c r="N106" s="7"/>
      <c r="O106" s="12"/>
      <c r="P106" s="98"/>
      <c r="Q106" s="98"/>
      <c r="R106" s="98"/>
      <c r="S106" s="98"/>
      <c r="T106" s="3"/>
      <c r="U106" s="98"/>
      <c r="V106" s="98"/>
      <c r="W106" s="98"/>
      <c r="X106" s="98"/>
    </row>
    <row r="107" spans="2:24">
      <c r="B107" s="6"/>
      <c r="C107" s="7">
        <v>44</v>
      </c>
      <c r="D107" s="24">
        <f t="shared" si="8"/>
        <v>0</v>
      </c>
      <c r="E107" s="103">
        <f t="shared" si="9"/>
        <v>0</v>
      </c>
      <c r="F107" s="53"/>
      <c r="G107" s="24">
        <f t="shared" si="6"/>
        <v>0</v>
      </c>
      <c r="H107" s="15">
        <f>IF(G107&gt;0,0,IF(AND(H106=0,SUM(K107:L107)=0),0,IF(D107=0,PPMT(D$53/12,COUNTIF(D$63:D107,0),D$54,Primary_Loan_Amount),0)))</f>
        <v>-25103.807117773878</v>
      </c>
      <c r="I107" s="103">
        <f>-SUM(Primary_Loan_Amount)-SUM(H$63:H107)</f>
        <v>-23293688.992247749</v>
      </c>
      <c r="J107" s="24">
        <f t="shared" si="7"/>
        <v>0</v>
      </c>
      <c r="K107" s="51">
        <f>IF(L107=1,0,IF(SUM(K$64:K106)&gt;=Construction_Timeline,0,1))</f>
        <v>0</v>
      </c>
      <c r="L107" s="13">
        <f t="shared" si="10"/>
        <v>0</v>
      </c>
      <c r="M107" s="54">
        <f t="shared" si="5"/>
        <v>47362</v>
      </c>
      <c r="N107" s="7"/>
      <c r="O107" s="12"/>
      <c r="P107" s="98"/>
      <c r="Q107" s="98"/>
      <c r="R107" s="98"/>
      <c r="S107" s="98"/>
      <c r="T107" s="3"/>
      <c r="U107" s="98"/>
      <c r="V107" s="98"/>
      <c r="W107" s="98"/>
      <c r="X107" s="98"/>
    </row>
    <row r="108" spans="2:24">
      <c r="B108" s="6"/>
      <c r="C108" s="7">
        <v>45</v>
      </c>
      <c r="D108" s="24">
        <f t="shared" si="8"/>
        <v>0</v>
      </c>
      <c r="E108" s="103">
        <f t="shared" si="9"/>
        <v>0</v>
      </c>
      <c r="F108" s="53"/>
      <c r="G108" s="24">
        <f t="shared" si="6"/>
        <v>0</v>
      </c>
      <c r="H108" s="15">
        <f>IF(G108&gt;0,0,IF(AND(H107=0,SUM(K108:L108)=0),0,IF(D108=0,PPMT(D$53/12,COUNTIF(D$63:D108,0),D$54,Primary_Loan_Amount),0)))</f>
        <v>-25229.326153362752</v>
      </c>
      <c r="I108" s="103">
        <f>-SUM(Primary_Loan_Amount)-SUM(H$63:H108)</f>
        <v>-23268459.666094385</v>
      </c>
      <c r="J108" s="24">
        <f t="shared" si="7"/>
        <v>0</v>
      </c>
      <c r="K108" s="51">
        <f>IF(L108=1,0,IF(SUM(K$64:K107)&gt;=Construction_Timeline,0,1))</f>
        <v>0</v>
      </c>
      <c r="L108" s="13">
        <f t="shared" si="10"/>
        <v>0</v>
      </c>
      <c r="M108" s="54">
        <f t="shared" si="5"/>
        <v>47392</v>
      </c>
      <c r="N108" s="7"/>
      <c r="O108" s="12"/>
      <c r="P108" s="98"/>
      <c r="Q108" s="98"/>
      <c r="R108" s="98"/>
      <c r="S108" s="98"/>
      <c r="T108" s="3"/>
      <c r="U108" s="98"/>
      <c r="V108" s="98"/>
      <c r="W108" s="98"/>
      <c r="X108" s="98"/>
    </row>
    <row r="109" spans="2:24">
      <c r="B109" s="6"/>
      <c r="C109" s="7">
        <v>46</v>
      </c>
      <c r="D109" s="24">
        <f t="shared" si="8"/>
        <v>0</v>
      </c>
      <c r="E109" s="103">
        <f t="shared" si="9"/>
        <v>0</v>
      </c>
      <c r="F109" s="53"/>
      <c r="G109" s="24">
        <f t="shared" si="6"/>
        <v>0</v>
      </c>
      <c r="H109" s="15">
        <f>IF(G109&gt;0,0,IF(AND(H108=0,SUM(K109:L109)=0),0,IF(D109=0,PPMT(D$53/12,COUNTIF(D$63:D109,0),D$54,Primary_Loan_Amount),0)))</f>
        <v>-25355.472784129557</v>
      </c>
      <c r="I109" s="103">
        <f>-SUM(Primary_Loan_Amount)-SUM(H$63:H109)</f>
        <v>-23243104.193310257</v>
      </c>
      <c r="J109" s="24">
        <f t="shared" si="7"/>
        <v>0</v>
      </c>
      <c r="K109" s="51">
        <f>IF(L109=1,0,IF(SUM(K$64:K108)&gt;=Construction_Timeline,0,1))</f>
        <v>0</v>
      </c>
      <c r="L109" s="13">
        <f t="shared" si="10"/>
        <v>0</v>
      </c>
      <c r="M109" s="54">
        <f t="shared" si="5"/>
        <v>47423</v>
      </c>
      <c r="N109" s="7"/>
      <c r="O109" s="12"/>
      <c r="P109" s="98"/>
      <c r="Q109" s="98"/>
      <c r="R109" s="98"/>
      <c r="S109" s="98"/>
      <c r="T109" s="3"/>
      <c r="U109" s="98"/>
      <c r="V109" s="98"/>
      <c r="W109" s="98"/>
      <c r="X109" s="98"/>
    </row>
    <row r="110" spans="2:24">
      <c r="B110" s="6"/>
      <c r="C110" s="7">
        <v>47</v>
      </c>
      <c r="D110" s="24">
        <f t="shared" si="8"/>
        <v>0</v>
      </c>
      <c r="E110" s="103">
        <f t="shared" si="9"/>
        <v>0</v>
      </c>
      <c r="F110" s="53"/>
      <c r="G110" s="24">
        <f t="shared" si="6"/>
        <v>0</v>
      </c>
      <c r="H110" s="15">
        <f>IF(G110&gt;0,0,IF(AND(H109=0,SUM(K110:L110)=0),0,IF(D110=0,PPMT(D$53/12,COUNTIF(D$63:D110,0),D$54,Primary_Loan_Amount),0)))</f>
        <v>-25482.250148050214</v>
      </c>
      <c r="I110" s="103">
        <f>-SUM(Primary_Loan_Amount)-SUM(H$63:H110)</f>
        <v>-23217621.943162207</v>
      </c>
      <c r="J110" s="24">
        <f t="shared" si="7"/>
        <v>0</v>
      </c>
      <c r="K110" s="51">
        <f>IF(L110=1,0,IF(SUM(K$64:K109)&gt;=Construction_Timeline,0,1))</f>
        <v>0</v>
      </c>
      <c r="L110" s="13">
        <f t="shared" si="10"/>
        <v>0</v>
      </c>
      <c r="M110" s="54">
        <f t="shared" si="5"/>
        <v>47453</v>
      </c>
      <c r="N110" s="7"/>
      <c r="O110" s="12"/>
      <c r="P110" s="98"/>
      <c r="Q110" s="98"/>
      <c r="R110" s="98"/>
      <c r="S110" s="98"/>
      <c r="T110" s="3"/>
      <c r="U110" s="98"/>
      <c r="V110" s="98"/>
      <c r="W110" s="98"/>
      <c r="X110" s="98"/>
    </row>
    <row r="111" spans="2:24">
      <c r="B111" s="6"/>
      <c r="C111" s="7">
        <v>48</v>
      </c>
      <c r="D111" s="24">
        <f t="shared" si="8"/>
        <v>0</v>
      </c>
      <c r="E111" s="103">
        <f t="shared" si="9"/>
        <v>0</v>
      </c>
      <c r="F111" s="53"/>
      <c r="G111" s="24">
        <f t="shared" si="6"/>
        <v>43650000</v>
      </c>
      <c r="H111" s="15">
        <f>IF(G111&gt;0,0,IF(AND(H110=0,SUM(K111:L111)=0),0,IF(D111=0,PPMT(D$53/12,COUNTIF(D$63:D111,0),D$54,Primary_Loan_Amount),0)))</f>
        <v>0</v>
      </c>
      <c r="I111" s="103">
        <f>-SUM(Primary_Loan_Amount)-SUM(H$63:H111)</f>
        <v>-23217621.943162207</v>
      </c>
      <c r="J111" s="24">
        <f t="shared" si="7"/>
        <v>20432378.056837793</v>
      </c>
      <c r="K111" s="51">
        <f>IF(L111=1,0,IF(SUM(K$64:K110)&gt;=Construction_Timeline,0,1))</f>
        <v>0</v>
      </c>
      <c r="L111" s="13">
        <f t="shared" si="10"/>
        <v>0</v>
      </c>
      <c r="M111" s="54">
        <f t="shared" si="5"/>
        <v>47484</v>
      </c>
      <c r="N111" s="7"/>
      <c r="O111" s="12"/>
      <c r="P111" s="98"/>
      <c r="Q111" s="98"/>
      <c r="R111" s="98"/>
      <c r="S111" s="98"/>
      <c r="T111" s="3"/>
      <c r="U111" s="98"/>
      <c r="V111" s="98"/>
      <c r="W111" s="98"/>
      <c r="X111" s="98"/>
    </row>
    <row r="112" spans="2:24">
      <c r="B112" s="6"/>
      <c r="C112" s="7">
        <v>49</v>
      </c>
      <c r="D112" s="24">
        <f t="shared" si="8"/>
        <v>0</v>
      </c>
      <c r="E112" s="103">
        <f t="shared" si="9"/>
        <v>0</v>
      </c>
      <c r="F112" s="53"/>
      <c r="G112" s="24">
        <f t="shared" si="6"/>
        <v>0</v>
      </c>
      <c r="H112" s="15">
        <f>IF(G112&gt;0,0,IF(AND(H111=0,SUM(K112:L112)=0),0,IF(D112=0,PPMT(D$53/12,COUNTIF(D$63:D112,0),D$54,Primary_Loan_Amount),0)))</f>
        <v>0</v>
      </c>
      <c r="I112" s="103">
        <f>-SUM(Primary_Loan_Amount)-SUM(H$63:H112)</f>
        <v>-23217621.943162207</v>
      </c>
      <c r="J112" s="24">
        <f t="shared" si="7"/>
        <v>0</v>
      </c>
      <c r="K112" s="51">
        <f>IF(L112=1,0,IF(SUM(K$64:K111)&gt;=Construction_Timeline,0,1))</f>
        <v>0</v>
      </c>
      <c r="L112" s="13">
        <f t="shared" si="10"/>
        <v>0</v>
      </c>
      <c r="M112" s="54">
        <f t="shared" si="5"/>
        <v>47515</v>
      </c>
      <c r="N112" s="7"/>
      <c r="O112" s="12"/>
      <c r="P112" s="98"/>
      <c r="Q112" s="98"/>
      <c r="R112" s="98"/>
      <c r="S112" s="98"/>
      <c r="T112" s="3"/>
      <c r="U112" s="98"/>
      <c r="V112" s="98"/>
      <c r="W112" s="98"/>
      <c r="X112" s="98"/>
    </row>
    <row r="113" spans="2:24">
      <c r="B113" s="6"/>
      <c r="C113" s="7">
        <v>50</v>
      </c>
      <c r="D113" s="24">
        <f t="shared" si="8"/>
        <v>0</v>
      </c>
      <c r="E113" s="103">
        <f t="shared" si="9"/>
        <v>0</v>
      </c>
      <c r="F113" s="53"/>
      <c r="G113" s="24">
        <f t="shared" si="6"/>
        <v>0</v>
      </c>
      <c r="H113" s="15">
        <f>IF(G113&gt;0,0,IF(AND(H112=0,SUM(K113:L113)=0),0,IF(D113=0,PPMT(D$53/12,COUNTIF(D$63:D113,0),D$54,Primary_Loan_Amount),0)))</f>
        <v>0</v>
      </c>
      <c r="I113" s="103">
        <f>-SUM(Primary_Loan_Amount)-SUM(H$63:H113)</f>
        <v>-23217621.943162207</v>
      </c>
      <c r="J113" s="24">
        <f t="shared" si="7"/>
        <v>0</v>
      </c>
      <c r="K113" s="51">
        <f>IF(L113=1,0,IF(SUM(K$64:K112)&gt;=Construction_Timeline,0,1))</f>
        <v>0</v>
      </c>
      <c r="L113" s="13">
        <f t="shared" si="10"/>
        <v>0</v>
      </c>
      <c r="M113" s="54">
        <f t="shared" si="5"/>
        <v>47543</v>
      </c>
      <c r="N113" s="7"/>
      <c r="O113" s="12"/>
      <c r="P113" s="98"/>
      <c r="Q113" s="98"/>
      <c r="R113" s="98"/>
      <c r="S113" s="98"/>
      <c r="T113" s="3"/>
      <c r="U113" s="98"/>
      <c r="V113" s="98"/>
      <c r="W113" s="98"/>
      <c r="X113" s="98"/>
    </row>
    <row r="114" spans="2:24">
      <c r="B114" s="6"/>
      <c r="C114" s="7">
        <v>51</v>
      </c>
      <c r="D114" s="24">
        <f t="shared" si="8"/>
        <v>0</v>
      </c>
      <c r="E114" s="103">
        <f t="shared" si="9"/>
        <v>0</v>
      </c>
      <c r="F114" s="53"/>
      <c r="G114" s="24">
        <f t="shared" si="6"/>
        <v>0</v>
      </c>
      <c r="H114" s="15">
        <f>IF(G114&gt;0,0,IF(AND(H113=0,SUM(K114:L114)=0),0,IF(D114=0,PPMT(D$53/12,COUNTIF(D$63:D114,0),D$54,Primary_Loan_Amount),0)))</f>
        <v>0</v>
      </c>
      <c r="I114" s="103">
        <f>-SUM(Primary_Loan_Amount)-SUM(H$63:H114)</f>
        <v>-23217621.943162207</v>
      </c>
      <c r="J114" s="24">
        <f t="shared" si="7"/>
        <v>0</v>
      </c>
      <c r="K114" s="51">
        <f>IF(L114=1,0,IF(SUM(K$64:K113)&gt;=Construction_Timeline,0,1))</f>
        <v>0</v>
      </c>
      <c r="L114" s="13">
        <f t="shared" si="10"/>
        <v>0</v>
      </c>
      <c r="M114" s="54">
        <f t="shared" si="5"/>
        <v>47574</v>
      </c>
      <c r="N114" s="7"/>
      <c r="O114" s="12"/>
      <c r="P114" s="98"/>
      <c r="Q114" s="98"/>
      <c r="R114" s="98"/>
      <c r="S114" s="98"/>
      <c r="T114" s="3"/>
      <c r="U114" s="98"/>
      <c r="V114" s="98"/>
      <c r="W114" s="98"/>
      <c r="X114" s="98"/>
    </row>
    <row r="115" spans="2:24">
      <c r="B115" s="6"/>
      <c r="C115" s="7">
        <v>52</v>
      </c>
      <c r="D115" s="24">
        <f t="shared" si="8"/>
        <v>0</v>
      </c>
      <c r="E115" s="103">
        <f t="shared" si="9"/>
        <v>0</v>
      </c>
      <c r="F115" s="53"/>
      <c r="G115" s="24">
        <f t="shared" si="6"/>
        <v>0</v>
      </c>
      <c r="H115" s="15">
        <f>IF(G115&gt;0,0,IF(AND(H114=0,SUM(K115:L115)=0),0,IF(D115=0,PPMT(D$53/12,COUNTIF(D$63:D115,0),D$54,Primary_Loan_Amount),0)))</f>
        <v>0</v>
      </c>
      <c r="I115" s="103">
        <f>-SUM(Primary_Loan_Amount)-SUM(H$63:H115)</f>
        <v>-23217621.943162207</v>
      </c>
      <c r="J115" s="24">
        <f t="shared" si="7"/>
        <v>0</v>
      </c>
      <c r="K115" s="51">
        <f>IF(L115=1,0,IF(SUM(K$64:K114)&gt;=Construction_Timeline,0,1))</f>
        <v>0</v>
      </c>
      <c r="L115" s="13">
        <f t="shared" si="10"/>
        <v>0</v>
      </c>
      <c r="M115" s="54">
        <f t="shared" si="5"/>
        <v>47604</v>
      </c>
      <c r="N115" s="7"/>
      <c r="O115" s="12"/>
      <c r="P115" s="98"/>
      <c r="Q115" s="98"/>
      <c r="R115" s="98"/>
      <c r="S115" s="98"/>
      <c r="T115" s="3"/>
      <c r="U115" s="98"/>
      <c r="V115" s="98"/>
      <c r="W115" s="98"/>
      <c r="X115" s="98"/>
    </row>
    <row r="116" spans="2:24">
      <c r="B116" s="6"/>
      <c r="C116" s="7">
        <v>53</v>
      </c>
      <c r="D116" s="24">
        <f t="shared" si="8"/>
        <v>0</v>
      </c>
      <c r="E116" s="103">
        <f t="shared" si="9"/>
        <v>0</v>
      </c>
      <c r="F116" s="53"/>
      <c r="G116" s="24">
        <f t="shared" si="6"/>
        <v>0</v>
      </c>
      <c r="H116" s="15">
        <f>IF(G116&gt;0,0,IF(AND(H115=0,SUM(K116:L116)=0),0,IF(D116=0,PPMT(D$53/12,COUNTIF(D$63:D116,0),D$54,Primary_Loan_Amount),0)))</f>
        <v>0</v>
      </c>
      <c r="I116" s="103">
        <f>-SUM(Primary_Loan_Amount)-SUM(H$63:H116)</f>
        <v>-23217621.943162207</v>
      </c>
      <c r="J116" s="24">
        <f t="shared" si="7"/>
        <v>0</v>
      </c>
      <c r="K116" s="51">
        <f>IF(L116=1,0,IF(SUM(K$64:K115)&gt;=Construction_Timeline,0,1))</f>
        <v>0</v>
      </c>
      <c r="L116" s="13">
        <f t="shared" si="10"/>
        <v>0</v>
      </c>
      <c r="M116" s="54">
        <f t="shared" si="5"/>
        <v>47635</v>
      </c>
      <c r="N116" s="7"/>
      <c r="O116" s="12"/>
      <c r="P116" s="98"/>
      <c r="Q116" s="98"/>
      <c r="R116" s="98"/>
      <c r="S116" s="98"/>
      <c r="T116" s="3"/>
      <c r="U116" s="98"/>
      <c r="V116" s="98"/>
      <c r="W116" s="98"/>
      <c r="X116" s="98"/>
    </row>
    <row r="117" spans="2:24">
      <c r="B117" s="6"/>
      <c r="C117" s="7">
        <v>54</v>
      </c>
      <c r="D117" s="24">
        <f t="shared" si="8"/>
        <v>0</v>
      </c>
      <c r="E117" s="103">
        <f t="shared" si="9"/>
        <v>0</v>
      </c>
      <c r="F117" s="53"/>
      <c r="G117" s="24">
        <f t="shared" si="6"/>
        <v>0</v>
      </c>
      <c r="H117" s="15">
        <f>IF(G117&gt;0,0,IF(AND(H116=0,SUM(K117:L117)=0),0,IF(D117=0,PPMT(D$53/12,COUNTIF(D$63:D117,0),D$54,Primary_Loan_Amount),0)))</f>
        <v>0</v>
      </c>
      <c r="I117" s="103">
        <f>-SUM(Primary_Loan_Amount)-SUM(H$63:H117)</f>
        <v>-23217621.943162207</v>
      </c>
      <c r="J117" s="24">
        <f t="shared" si="7"/>
        <v>0</v>
      </c>
      <c r="K117" s="51">
        <f>IF(L117=1,0,IF(SUM(K$64:K116)&gt;=Construction_Timeline,0,1))</f>
        <v>0</v>
      </c>
      <c r="L117" s="13">
        <f t="shared" si="10"/>
        <v>0</v>
      </c>
      <c r="M117" s="54">
        <f t="shared" si="5"/>
        <v>47665</v>
      </c>
      <c r="N117" s="7"/>
      <c r="O117" s="12"/>
      <c r="P117" s="98"/>
      <c r="Q117" s="98"/>
      <c r="R117" s="98"/>
      <c r="S117" s="98"/>
      <c r="T117" s="3"/>
      <c r="U117" s="98"/>
      <c r="V117" s="98"/>
      <c r="W117" s="98"/>
      <c r="X117" s="98"/>
    </row>
    <row r="118" spans="2:24">
      <c r="B118" s="6"/>
      <c r="C118" s="7">
        <v>55</v>
      </c>
      <c r="D118" s="24">
        <f t="shared" si="8"/>
        <v>0</v>
      </c>
      <c r="E118" s="103">
        <f t="shared" si="9"/>
        <v>0</v>
      </c>
      <c r="F118" s="53"/>
      <c r="G118" s="24">
        <f t="shared" si="6"/>
        <v>0</v>
      </c>
      <c r="H118" s="15">
        <f>IF(G118&gt;0,0,IF(AND(H117=0,SUM(K118:L118)=0),0,IF(D118=0,PPMT(D$53/12,COUNTIF(D$63:D118,0),D$54,Primary_Loan_Amount),0)))</f>
        <v>0</v>
      </c>
      <c r="I118" s="103">
        <f>-SUM(Primary_Loan_Amount)-SUM(H$63:H118)</f>
        <v>-23217621.943162207</v>
      </c>
      <c r="J118" s="24">
        <f t="shared" si="7"/>
        <v>0</v>
      </c>
      <c r="K118" s="51">
        <f>IF(L118=1,0,IF(SUM(K$64:K117)&gt;=Construction_Timeline,0,1))</f>
        <v>0</v>
      </c>
      <c r="L118" s="13">
        <f t="shared" si="10"/>
        <v>0</v>
      </c>
      <c r="M118" s="54">
        <f t="shared" si="5"/>
        <v>47696</v>
      </c>
      <c r="N118" s="7"/>
      <c r="O118" s="12"/>
      <c r="P118" s="98"/>
      <c r="Q118" s="98"/>
      <c r="R118" s="98"/>
      <c r="S118" s="98"/>
      <c r="T118" s="3"/>
      <c r="U118" s="98"/>
      <c r="V118" s="98"/>
      <c r="W118" s="98"/>
      <c r="X118" s="98"/>
    </row>
    <row r="119" spans="2:24">
      <c r="B119" s="6"/>
      <c r="C119" s="7">
        <v>56</v>
      </c>
      <c r="D119" s="24">
        <f t="shared" si="8"/>
        <v>0</v>
      </c>
      <c r="E119" s="103">
        <f t="shared" si="9"/>
        <v>0</v>
      </c>
      <c r="F119" s="53"/>
      <c r="G119" s="24">
        <f t="shared" si="6"/>
        <v>0</v>
      </c>
      <c r="H119" s="15">
        <f>IF(G119&gt;0,0,IF(AND(H118=0,SUM(K119:L119)=0),0,IF(D119=0,PPMT(D$53/12,COUNTIF(D$63:D119,0),D$54,Primary_Loan_Amount),0)))</f>
        <v>0</v>
      </c>
      <c r="I119" s="103">
        <f>-SUM(Primary_Loan_Amount)-SUM(H$63:H119)</f>
        <v>-23217621.943162207</v>
      </c>
      <c r="J119" s="24">
        <f t="shared" si="7"/>
        <v>0</v>
      </c>
      <c r="K119" s="51">
        <f>IF(L119=1,0,IF(SUM(K$64:K118)&gt;=Construction_Timeline,0,1))</f>
        <v>0</v>
      </c>
      <c r="L119" s="13">
        <f t="shared" si="10"/>
        <v>0</v>
      </c>
      <c r="M119" s="54">
        <f t="shared" si="5"/>
        <v>47727</v>
      </c>
      <c r="N119" s="7"/>
      <c r="O119" s="12"/>
      <c r="P119" s="98"/>
      <c r="Q119" s="98"/>
      <c r="R119" s="98"/>
      <c r="S119" s="98"/>
      <c r="T119" s="3"/>
      <c r="U119" s="98"/>
      <c r="V119" s="98"/>
      <c r="W119" s="98"/>
      <c r="X119" s="98"/>
    </row>
    <row r="120" spans="2:24">
      <c r="B120" s="6"/>
      <c r="C120" s="7">
        <v>57</v>
      </c>
      <c r="D120" s="24">
        <f t="shared" si="8"/>
        <v>0</v>
      </c>
      <c r="E120" s="103">
        <f t="shared" si="9"/>
        <v>0</v>
      </c>
      <c r="F120" s="53"/>
      <c r="G120" s="24">
        <f t="shared" si="6"/>
        <v>0</v>
      </c>
      <c r="H120" s="15">
        <f>IF(G120&gt;0,0,IF(AND(H119=0,SUM(K120:L120)=0),0,IF(D120=0,PPMT(D$53/12,COUNTIF(D$63:D120,0),D$54,Primary_Loan_Amount),0)))</f>
        <v>0</v>
      </c>
      <c r="I120" s="103">
        <f>-SUM(Primary_Loan_Amount)-SUM(H$63:H120)</f>
        <v>-23217621.943162207</v>
      </c>
      <c r="J120" s="24">
        <f t="shared" si="7"/>
        <v>0</v>
      </c>
      <c r="K120" s="51">
        <f>IF(L120=1,0,IF(SUM(K$64:K119)&gt;=Construction_Timeline,0,1))</f>
        <v>0</v>
      </c>
      <c r="L120" s="13">
        <f t="shared" si="10"/>
        <v>0</v>
      </c>
      <c r="M120" s="54">
        <f t="shared" si="5"/>
        <v>47757</v>
      </c>
      <c r="N120" s="7"/>
      <c r="O120" s="12"/>
      <c r="P120" s="98"/>
      <c r="Q120" s="98"/>
      <c r="R120" s="98"/>
      <c r="S120" s="98"/>
      <c r="T120" s="3"/>
      <c r="U120" s="98"/>
      <c r="V120" s="98"/>
      <c r="W120" s="98"/>
      <c r="X120" s="98"/>
    </row>
    <row r="121" spans="2:24">
      <c r="B121" s="6"/>
      <c r="C121" s="7">
        <v>58</v>
      </c>
      <c r="D121" s="24">
        <f t="shared" si="8"/>
        <v>0</v>
      </c>
      <c r="E121" s="103">
        <f t="shared" si="9"/>
        <v>0</v>
      </c>
      <c r="F121" s="53"/>
      <c r="G121" s="24">
        <f t="shared" si="6"/>
        <v>0</v>
      </c>
      <c r="H121" s="15">
        <f>IF(G121&gt;0,0,IF(AND(H120=0,SUM(K121:L121)=0),0,IF(D121=0,PPMT(D$53/12,COUNTIF(D$63:D121,0),D$54,Primary_Loan_Amount),0)))</f>
        <v>0</v>
      </c>
      <c r="I121" s="103">
        <f>-SUM(Primary_Loan_Amount)-SUM(H$63:H121)</f>
        <v>-23217621.943162207</v>
      </c>
      <c r="J121" s="24">
        <f t="shared" si="7"/>
        <v>0</v>
      </c>
      <c r="K121" s="51">
        <f>IF(L121=1,0,IF(SUM(K$64:K120)&gt;=Construction_Timeline,0,1))</f>
        <v>0</v>
      </c>
      <c r="L121" s="13">
        <f t="shared" si="10"/>
        <v>0</v>
      </c>
      <c r="M121" s="54">
        <f t="shared" si="5"/>
        <v>47788</v>
      </c>
      <c r="N121" s="7"/>
      <c r="O121" s="12"/>
      <c r="P121" s="98"/>
      <c r="Q121" s="98"/>
      <c r="R121" s="98"/>
      <c r="S121" s="98"/>
      <c r="T121" s="3"/>
      <c r="U121" s="98"/>
      <c r="V121" s="98"/>
      <c r="W121" s="98"/>
      <c r="X121" s="98"/>
    </row>
    <row r="122" spans="2:24">
      <c r="B122" s="6"/>
      <c r="C122" s="7">
        <v>59</v>
      </c>
      <c r="D122" s="24">
        <f t="shared" si="8"/>
        <v>0</v>
      </c>
      <c r="E122" s="103">
        <f t="shared" si="9"/>
        <v>0</v>
      </c>
      <c r="F122" s="53"/>
      <c r="G122" s="24">
        <f t="shared" si="6"/>
        <v>0</v>
      </c>
      <c r="H122" s="15">
        <f>IF(G122&gt;0,0,IF(AND(H121=0,SUM(K122:L122)=0),0,IF(D122=0,PPMT(D$53/12,COUNTIF(D$63:D122,0),D$54,Primary_Loan_Amount),0)))</f>
        <v>0</v>
      </c>
      <c r="I122" s="103">
        <f>-SUM(Primary_Loan_Amount)-SUM(H$63:H122)</f>
        <v>-23217621.943162207</v>
      </c>
      <c r="J122" s="24">
        <f t="shared" si="7"/>
        <v>0</v>
      </c>
      <c r="K122" s="51">
        <f>IF(L122=1,0,IF(SUM(K$64:K121)&gt;=Construction_Timeline,0,1))</f>
        <v>0</v>
      </c>
      <c r="L122" s="13">
        <f t="shared" si="10"/>
        <v>0</v>
      </c>
      <c r="M122" s="54">
        <f t="shared" si="5"/>
        <v>47818</v>
      </c>
      <c r="N122" s="7"/>
      <c r="O122" s="12"/>
      <c r="P122" s="98"/>
      <c r="Q122" s="98"/>
      <c r="R122" s="98"/>
      <c r="S122" s="98"/>
      <c r="T122" s="3"/>
      <c r="U122" s="98"/>
      <c r="V122" s="98"/>
      <c r="W122" s="98"/>
      <c r="X122" s="98"/>
    </row>
    <row r="123" spans="2:24">
      <c r="B123" s="6"/>
      <c r="C123" s="7">
        <v>60</v>
      </c>
      <c r="D123" s="24">
        <f t="shared" si="8"/>
        <v>0</v>
      </c>
      <c r="E123" s="103">
        <f t="shared" si="9"/>
        <v>0</v>
      </c>
      <c r="F123" s="53"/>
      <c r="G123" s="24">
        <f t="shared" si="6"/>
        <v>0</v>
      </c>
      <c r="H123" s="15">
        <f>IF(G123&gt;0,0,IF(AND(H122=0,SUM(K123:L123)=0),0,IF(D123=0,PPMT(D$53/12,COUNTIF(D$63:D123,0),D$54,Primary_Loan_Amount),0)))</f>
        <v>0</v>
      </c>
      <c r="I123" s="103">
        <f>-SUM(Primary_Loan_Amount)-SUM(H$63:H123)</f>
        <v>-23217621.943162207</v>
      </c>
      <c r="J123" s="24">
        <f t="shared" si="7"/>
        <v>0</v>
      </c>
      <c r="K123" s="51">
        <f>IF(L123=1,0,IF(SUM(K$64:K122)&gt;=Construction_Timeline,0,1))</f>
        <v>0</v>
      </c>
      <c r="L123" s="13">
        <f t="shared" si="10"/>
        <v>0</v>
      </c>
      <c r="M123" s="54">
        <f t="shared" si="5"/>
        <v>47849</v>
      </c>
      <c r="N123" s="7"/>
      <c r="O123" s="12"/>
      <c r="P123" s="98"/>
      <c r="Q123" s="98"/>
      <c r="R123" s="98"/>
      <c r="S123" s="98"/>
      <c r="T123" s="3"/>
      <c r="U123" s="98"/>
      <c r="V123" s="98"/>
      <c r="W123" s="98"/>
      <c r="X123" s="98"/>
    </row>
    <row r="124" spans="2:24">
      <c r="B124" s="6"/>
      <c r="C124" s="7">
        <v>61</v>
      </c>
      <c r="D124" s="24">
        <f t="shared" si="8"/>
        <v>0</v>
      </c>
      <c r="E124" s="103">
        <f t="shared" si="9"/>
        <v>0</v>
      </c>
      <c r="F124" s="53"/>
      <c r="G124" s="24">
        <f t="shared" si="6"/>
        <v>0</v>
      </c>
      <c r="H124" s="15">
        <f>IF(G124&gt;0,0,IF(AND(H123=0,SUM(K124:L124)=0),0,IF(D124=0,PPMT(D$53/12,COUNTIF(D$63:D124,0),D$54,Primary_Loan_Amount),0)))</f>
        <v>0</v>
      </c>
      <c r="I124" s="103">
        <f>-SUM(Primary_Loan_Amount)-SUM(H$63:H124)</f>
        <v>-23217621.943162207</v>
      </c>
      <c r="J124" s="24">
        <f t="shared" si="7"/>
        <v>0</v>
      </c>
      <c r="K124" s="51">
        <f>IF(L124=1,0,IF(SUM(K$64:K123)&gt;=Construction_Timeline,0,1))</f>
        <v>0</v>
      </c>
      <c r="L124" s="13">
        <f t="shared" si="10"/>
        <v>0</v>
      </c>
      <c r="M124" s="54">
        <f t="shared" si="5"/>
        <v>47880</v>
      </c>
      <c r="N124" s="7"/>
      <c r="O124" s="12"/>
      <c r="P124" s="98"/>
      <c r="Q124" s="98"/>
      <c r="R124" s="98"/>
      <c r="S124" s="98"/>
      <c r="T124" s="3"/>
      <c r="U124" s="98"/>
      <c r="V124" s="98"/>
      <c r="W124" s="98"/>
      <c r="X124" s="98"/>
    </row>
    <row r="125" spans="2:24">
      <c r="B125" s="6"/>
      <c r="C125" s="7">
        <v>62</v>
      </c>
      <c r="D125" s="24">
        <f t="shared" si="8"/>
        <v>0</v>
      </c>
      <c r="E125" s="103">
        <f t="shared" si="9"/>
        <v>0</v>
      </c>
      <c r="F125" s="53"/>
      <c r="G125" s="24">
        <f t="shared" si="6"/>
        <v>0</v>
      </c>
      <c r="H125" s="15">
        <f>IF(G125&gt;0,0,IF(AND(H124=0,SUM(K125:L125)=0),0,IF(D125=0,PPMT(D$53/12,COUNTIF(D$63:D125,0),D$54,Primary_Loan_Amount),0)))</f>
        <v>0</v>
      </c>
      <c r="I125" s="103">
        <f>-SUM(Primary_Loan_Amount)-SUM(H$63:H125)</f>
        <v>-23217621.943162207</v>
      </c>
      <c r="J125" s="24">
        <f t="shared" si="7"/>
        <v>0</v>
      </c>
      <c r="K125" s="51">
        <f>IF(L125=1,0,IF(SUM(K$64:K124)&gt;=Construction_Timeline,0,1))</f>
        <v>0</v>
      </c>
      <c r="L125" s="13">
        <f t="shared" si="10"/>
        <v>0</v>
      </c>
      <c r="M125" s="54">
        <f t="shared" si="5"/>
        <v>47908</v>
      </c>
      <c r="N125" s="7"/>
      <c r="O125" s="12"/>
      <c r="P125" s="98"/>
      <c r="Q125" s="98"/>
      <c r="R125" s="98"/>
      <c r="S125" s="98"/>
      <c r="T125" s="3"/>
      <c r="U125" s="98"/>
      <c r="V125" s="98"/>
      <c r="W125" s="98"/>
      <c r="X125" s="98"/>
    </row>
    <row r="126" spans="2:24">
      <c r="B126" s="6"/>
      <c r="C126" s="7">
        <v>63</v>
      </c>
      <c r="D126" s="24">
        <f t="shared" si="8"/>
        <v>0</v>
      </c>
      <c r="E126" s="103">
        <f t="shared" si="9"/>
        <v>0</v>
      </c>
      <c r="F126" s="53"/>
      <c r="G126" s="24">
        <f t="shared" si="6"/>
        <v>0</v>
      </c>
      <c r="H126" s="15">
        <f>IF(G126&gt;0,0,IF(AND(H125=0,SUM(K126:L126)=0),0,IF(D126=0,PPMT(D$53/12,COUNTIF(D$63:D126,0),D$54,Primary_Loan_Amount),0)))</f>
        <v>0</v>
      </c>
      <c r="I126" s="103">
        <f>-SUM(Primary_Loan_Amount)-SUM(H$63:H126)</f>
        <v>-23217621.943162207</v>
      </c>
      <c r="J126" s="24">
        <f t="shared" si="7"/>
        <v>0</v>
      </c>
      <c r="K126" s="51">
        <f>IF(L126=1,0,IF(SUM(K$64:K125)&gt;=Construction_Timeline,0,1))</f>
        <v>0</v>
      </c>
      <c r="L126" s="13">
        <f t="shared" si="10"/>
        <v>0</v>
      </c>
      <c r="M126" s="54">
        <f t="shared" si="5"/>
        <v>47939</v>
      </c>
      <c r="N126" s="7"/>
      <c r="O126" s="12"/>
      <c r="P126" s="98"/>
      <c r="Q126" s="98"/>
      <c r="R126" s="98"/>
      <c r="S126" s="98"/>
      <c r="T126" s="3"/>
      <c r="U126" s="98"/>
      <c r="V126" s="98"/>
      <c r="W126" s="98"/>
      <c r="X126" s="98"/>
    </row>
    <row r="127" spans="2:24">
      <c r="B127" s="6"/>
      <c r="C127" s="7">
        <v>64</v>
      </c>
      <c r="D127" s="24">
        <f t="shared" si="8"/>
        <v>0</v>
      </c>
      <c r="E127" s="103">
        <f t="shared" si="9"/>
        <v>0</v>
      </c>
      <c r="F127" s="53"/>
      <c r="G127" s="24">
        <f t="shared" ref="G127:G158" si="11">IF(C127=SUM(Month_of_Sale,PreDev_Timeline,Construction_Timeline),Sale_Price*(1-D$44),0)</f>
        <v>0</v>
      </c>
      <c r="H127" s="15">
        <f>IF(G127&gt;0,0,IF(AND(H126=0,SUM(K127:L127)=0),0,IF(D127=0,PPMT(D$53/12,COUNTIF(D$63:D127,0),D$54,Primary_Loan_Amount),0)))</f>
        <v>0</v>
      </c>
      <c r="I127" s="103">
        <f>-SUM(Primary_Loan_Amount)-SUM(H$63:H127)</f>
        <v>-23217621.943162207</v>
      </c>
      <c r="J127" s="24">
        <f t="shared" ref="J127:J158" si="12">SUM(D127,F127,G127)+IF(G127&gt;0,I127)</f>
        <v>0</v>
      </c>
      <c r="K127" s="51">
        <f>IF(L127=1,0,IF(SUM(K$64:K126)&gt;=Construction_Timeline,0,1))</f>
        <v>0</v>
      </c>
      <c r="L127" s="13">
        <f t="shared" si="10"/>
        <v>0</v>
      </c>
      <c r="M127" s="54">
        <f t="shared" si="5"/>
        <v>47969</v>
      </c>
      <c r="N127" s="7"/>
      <c r="O127" s="12"/>
      <c r="P127" s="98"/>
      <c r="Q127" s="98"/>
      <c r="R127" s="98"/>
      <c r="S127" s="98"/>
      <c r="T127" s="3"/>
      <c r="U127" s="98"/>
      <c r="V127" s="98"/>
      <c r="W127" s="98"/>
      <c r="X127" s="98"/>
    </row>
    <row r="128" spans="2:24">
      <c r="B128" s="6"/>
      <c r="C128" s="7">
        <v>65</v>
      </c>
      <c r="D128" s="24">
        <f t="shared" ref="D128:D159" si="13">IF(AND(C127&gt;0,E127&gt;=D127),E127,IF(L128=1,-Pre_Development_Costs/PreDev_Timeline,IF(K128=1,MAX(E127,-D$43/Construction_Timeline),0)))</f>
        <v>0</v>
      </c>
      <c r="E128" s="103">
        <f t="shared" ref="E128:E159" si="14">E127-D128</f>
        <v>0</v>
      </c>
      <c r="F128" s="53"/>
      <c r="G128" s="24">
        <f t="shared" si="11"/>
        <v>0</v>
      </c>
      <c r="H128" s="15">
        <f>IF(G128&gt;0,0,IF(AND(H127=0,SUM(K128:L128)=0),0,IF(D128=0,PPMT(D$53/12,COUNTIF(D$63:D128,0),D$54,Primary_Loan_Amount),0)))</f>
        <v>0</v>
      </c>
      <c r="I128" s="103">
        <f>-SUM(Primary_Loan_Amount)-SUM(H$63:H128)</f>
        <v>-23217621.943162207</v>
      </c>
      <c r="J128" s="24">
        <f t="shared" si="12"/>
        <v>0</v>
      </c>
      <c r="K128" s="51">
        <f>IF(L128=1,0,IF(SUM(K$64:K127)&gt;=Construction_Timeline,0,1))</f>
        <v>0</v>
      </c>
      <c r="L128" s="13">
        <f t="shared" ref="L128:L159" si="15">IF(C128&lt;=PreDev_Timeline,1,0)</f>
        <v>0</v>
      </c>
      <c r="M128" s="54">
        <f t="shared" si="5"/>
        <v>48000</v>
      </c>
      <c r="N128" s="7"/>
      <c r="O128" s="12"/>
      <c r="P128" s="98"/>
      <c r="Q128" s="98"/>
      <c r="R128" s="98"/>
      <c r="S128" s="98"/>
      <c r="T128" s="3"/>
      <c r="U128" s="98"/>
      <c r="V128" s="98"/>
      <c r="W128" s="98"/>
      <c r="X128" s="98"/>
    </row>
    <row r="129" spans="2:24">
      <c r="B129" s="6"/>
      <c r="C129" s="7">
        <v>66</v>
      </c>
      <c r="D129" s="24">
        <f t="shared" si="13"/>
        <v>0</v>
      </c>
      <c r="E129" s="103">
        <f t="shared" si="14"/>
        <v>0</v>
      </c>
      <c r="F129" s="53"/>
      <c r="G129" s="24">
        <f t="shared" si="11"/>
        <v>0</v>
      </c>
      <c r="H129" s="15">
        <f>IF(G129&gt;0,0,IF(AND(H128=0,SUM(K129:L129)=0),0,IF(D129=0,PPMT(D$53/12,COUNTIF(D$63:D129,0),D$54,Primary_Loan_Amount),0)))</f>
        <v>0</v>
      </c>
      <c r="I129" s="103">
        <f>-SUM(Primary_Loan_Amount)-SUM(H$63:H129)</f>
        <v>-23217621.943162207</v>
      </c>
      <c r="J129" s="24">
        <f t="shared" si="12"/>
        <v>0</v>
      </c>
      <c r="K129" s="51">
        <f>IF(L129=1,0,IF(SUM(K$64:K128)&gt;=Construction_Timeline,0,1))</f>
        <v>0</v>
      </c>
      <c r="L129" s="13">
        <f t="shared" si="15"/>
        <v>0</v>
      </c>
      <c r="M129" s="54">
        <f t="shared" ref="M129:M192" si="16">EDATE(M128,1)</f>
        <v>48030</v>
      </c>
      <c r="N129" s="7"/>
      <c r="O129" s="12"/>
      <c r="P129" s="98"/>
      <c r="Q129" s="98"/>
      <c r="R129" s="98"/>
      <c r="S129" s="98"/>
      <c r="T129" s="3"/>
      <c r="U129" s="98"/>
      <c r="V129" s="98"/>
      <c r="W129" s="98"/>
      <c r="X129" s="98"/>
    </row>
    <row r="130" spans="2:24">
      <c r="B130" s="6"/>
      <c r="C130" s="7">
        <v>67</v>
      </c>
      <c r="D130" s="24">
        <f t="shared" si="13"/>
        <v>0</v>
      </c>
      <c r="E130" s="103">
        <f t="shared" si="14"/>
        <v>0</v>
      </c>
      <c r="F130" s="53"/>
      <c r="G130" s="24">
        <f t="shared" si="11"/>
        <v>0</v>
      </c>
      <c r="H130" s="15">
        <f>IF(G130&gt;0,0,IF(AND(H129=0,SUM(K130:L130)=0),0,IF(D130=0,PPMT(D$53/12,COUNTIF(D$63:D130,0),D$54,Primary_Loan_Amount),0)))</f>
        <v>0</v>
      </c>
      <c r="I130" s="103">
        <f>-SUM(Primary_Loan_Amount)-SUM(H$63:H130)</f>
        <v>-23217621.943162207</v>
      </c>
      <c r="J130" s="24">
        <f t="shared" si="12"/>
        <v>0</v>
      </c>
      <c r="K130" s="51">
        <f>IF(L130=1,0,IF(SUM(K$64:K129)&gt;=Construction_Timeline,0,1))</f>
        <v>0</v>
      </c>
      <c r="L130" s="13">
        <f t="shared" si="15"/>
        <v>0</v>
      </c>
      <c r="M130" s="54">
        <f t="shared" si="16"/>
        <v>48061</v>
      </c>
      <c r="N130" s="7"/>
      <c r="O130" s="12"/>
      <c r="P130" s="98"/>
      <c r="Q130" s="98"/>
      <c r="R130" s="98"/>
      <c r="S130" s="98"/>
      <c r="T130" s="3"/>
      <c r="U130" s="98"/>
      <c r="V130" s="98"/>
      <c r="W130" s="98"/>
      <c r="X130" s="98"/>
    </row>
    <row r="131" spans="2:24">
      <c r="B131" s="6"/>
      <c r="C131" s="7">
        <v>68</v>
      </c>
      <c r="D131" s="24">
        <f t="shared" si="13"/>
        <v>0</v>
      </c>
      <c r="E131" s="103">
        <f t="shared" si="14"/>
        <v>0</v>
      </c>
      <c r="F131" s="53"/>
      <c r="G131" s="24">
        <f t="shared" si="11"/>
        <v>0</v>
      </c>
      <c r="H131" s="15">
        <f>IF(G131&gt;0,0,IF(AND(H130=0,SUM(K131:L131)=0),0,IF(D131=0,PPMT(D$53/12,COUNTIF(D$63:D131,0),D$54,Primary_Loan_Amount),0)))</f>
        <v>0</v>
      </c>
      <c r="I131" s="103">
        <f>-SUM(Primary_Loan_Amount)-SUM(H$63:H131)</f>
        <v>-23217621.943162207</v>
      </c>
      <c r="J131" s="24">
        <f t="shared" si="12"/>
        <v>0</v>
      </c>
      <c r="K131" s="51">
        <f>IF(L131=1,0,IF(SUM(K$64:K130)&gt;=Construction_Timeline,0,1))</f>
        <v>0</v>
      </c>
      <c r="L131" s="13">
        <f t="shared" si="15"/>
        <v>0</v>
      </c>
      <c r="M131" s="54">
        <f t="shared" si="16"/>
        <v>48092</v>
      </c>
      <c r="N131" s="7"/>
      <c r="O131" s="12"/>
      <c r="P131" s="98"/>
      <c r="Q131" s="98"/>
      <c r="R131" s="98"/>
      <c r="S131" s="98"/>
      <c r="T131" s="3"/>
      <c r="U131" s="98"/>
      <c r="V131" s="98"/>
      <c r="W131" s="98"/>
      <c r="X131" s="98"/>
    </row>
    <row r="132" spans="2:24">
      <c r="B132" s="6"/>
      <c r="C132" s="7">
        <v>69</v>
      </c>
      <c r="D132" s="24">
        <f t="shared" si="13"/>
        <v>0</v>
      </c>
      <c r="E132" s="103">
        <f t="shared" si="14"/>
        <v>0</v>
      </c>
      <c r="F132" s="53"/>
      <c r="G132" s="24">
        <f t="shared" si="11"/>
        <v>0</v>
      </c>
      <c r="H132" s="15">
        <f>IF(G132&gt;0,0,IF(AND(H131=0,SUM(K132:L132)=0),0,IF(D132=0,PPMT(D$53/12,COUNTIF(D$63:D132,0),D$54,Primary_Loan_Amount),0)))</f>
        <v>0</v>
      </c>
      <c r="I132" s="103">
        <f>-SUM(Primary_Loan_Amount)-SUM(H$63:H132)</f>
        <v>-23217621.943162207</v>
      </c>
      <c r="J132" s="24">
        <f t="shared" si="12"/>
        <v>0</v>
      </c>
      <c r="K132" s="51">
        <f>IF(L132=1,0,IF(SUM(K$64:K131)&gt;=Construction_Timeline,0,1))</f>
        <v>0</v>
      </c>
      <c r="L132" s="13">
        <f t="shared" si="15"/>
        <v>0</v>
      </c>
      <c r="M132" s="54">
        <f t="shared" si="16"/>
        <v>48122</v>
      </c>
      <c r="N132" s="7"/>
      <c r="O132" s="12"/>
      <c r="P132" s="98"/>
      <c r="Q132" s="98"/>
      <c r="R132" s="98"/>
      <c r="S132" s="98"/>
      <c r="T132" s="3"/>
      <c r="U132" s="98"/>
      <c r="V132" s="98"/>
      <c r="W132" s="98"/>
      <c r="X132" s="98"/>
    </row>
    <row r="133" spans="2:24">
      <c r="B133" s="6"/>
      <c r="C133" s="7">
        <v>70</v>
      </c>
      <c r="D133" s="24">
        <f t="shared" si="13"/>
        <v>0</v>
      </c>
      <c r="E133" s="103">
        <f t="shared" si="14"/>
        <v>0</v>
      </c>
      <c r="F133" s="53"/>
      <c r="G133" s="24">
        <f t="shared" si="11"/>
        <v>0</v>
      </c>
      <c r="H133" s="15">
        <f>IF(G133&gt;0,0,IF(AND(H132=0,SUM(K133:L133)=0),0,IF(D133=0,PPMT(D$53/12,COUNTIF(D$63:D133,0),D$54,Primary_Loan_Amount),0)))</f>
        <v>0</v>
      </c>
      <c r="I133" s="103">
        <f>-SUM(Primary_Loan_Amount)-SUM(H$63:H133)</f>
        <v>-23217621.943162207</v>
      </c>
      <c r="J133" s="24">
        <f t="shared" si="12"/>
        <v>0</v>
      </c>
      <c r="K133" s="51">
        <f>IF(L133=1,0,IF(SUM(K$64:K132)&gt;=Construction_Timeline,0,1))</f>
        <v>0</v>
      </c>
      <c r="L133" s="13">
        <f t="shared" si="15"/>
        <v>0</v>
      </c>
      <c r="M133" s="54">
        <f t="shared" si="16"/>
        <v>48153</v>
      </c>
      <c r="N133" s="7"/>
      <c r="O133" s="12"/>
      <c r="P133" s="98"/>
      <c r="Q133" s="98"/>
      <c r="R133" s="98"/>
      <c r="S133" s="98"/>
      <c r="T133" s="3"/>
      <c r="U133" s="98"/>
      <c r="V133" s="98"/>
      <c r="W133" s="98"/>
      <c r="X133" s="98"/>
    </row>
    <row r="134" spans="2:24">
      <c r="B134" s="6"/>
      <c r="C134" s="7">
        <v>71</v>
      </c>
      <c r="D134" s="24">
        <f t="shared" si="13"/>
        <v>0</v>
      </c>
      <c r="E134" s="103">
        <f t="shared" si="14"/>
        <v>0</v>
      </c>
      <c r="F134" s="53"/>
      <c r="G134" s="24">
        <f t="shared" si="11"/>
        <v>0</v>
      </c>
      <c r="H134" s="15">
        <f>IF(G134&gt;0,0,IF(AND(H133=0,SUM(K134:L134)=0),0,IF(D134=0,PPMT(D$53/12,COUNTIF(D$63:D134,0),D$54,Primary_Loan_Amount),0)))</f>
        <v>0</v>
      </c>
      <c r="I134" s="103">
        <f>-SUM(Primary_Loan_Amount)-SUM(H$63:H134)</f>
        <v>-23217621.943162207</v>
      </c>
      <c r="J134" s="24">
        <f t="shared" si="12"/>
        <v>0</v>
      </c>
      <c r="K134" s="51">
        <f>IF(L134=1,0,IF(SUM(K$64:K133)&gt;=Construction_Timeline,0,1))</f>
        <v>0</v>
      </c>
      <c r="L134" s="13">
        <f t="shared" si="15"/>
        <v>0</v>
      </c>
      <c r="M134" s="54">
        <f t="shared" si="16"/>
        <v>48183</v>
      </c>
      <c r="N134" s="7"/>
      <c r="O134" s="12"/>
      <c r="P134" s="98"/>
      <c r="Q134" s="98"/>
      <c r="R134" s="98"/>
      <c r="S134" s="98"/>
      <c r="T134" s="3"/>
      <c r="U134" s="98"/>
      <c r="V134" s="98"/>
      <c r="W134" s="98"/>
      <c r="X134" s="98"/>
    </row>
    <row r="135" spans="2:24">
      <c r="B135" s="6"/>
      <c r="C135" s="7">
        <v>72</v>
      </c>
      <c r="D135" s="24">
        <f t="shared" si="13"/>
        <v>0</v>
      </c>
      <c r="E135" s="103">
        <f t="shared" si="14"/>
        <v>0</v>
      </c>
      <c r="F135" s="53"/>
      <c r="G135" s="24">
        <f t="shared" si="11"/>
        <v>0</v>
      </c>
      <c r="H135" s="15">
        <f>IF(G135&gt;0,0,IF(AND(H134=0,SUM(K135:L135)=0),0,IF(D135=0,PPMT(D$53/12,COUNTIF(D$63:D135,0),D$54,Primary_Loan_Amount),0)))</f>
        <v>0</v>
      </c>
      <c r="I135" s="103">
        <f>-SUM(Primary_Loan_Amount)-SUM(H$63:H135)</f>
        <v>-23217621.943162207</v>
      </c>
      <c r="J135" s="24">
        <f t="shared" si="12"/>
        <v>0</v>
      </c>
      <c r="K135" s="51">
        <f>IF(L135=1,0,IF(SUM(K$64:K134)&gt;=Construction_Timeline,0,1))</f>
        <v>0</v>
      </c>
      <c r="L135" s="13">
        <f t="shared" si="15"/>
        <v>0</v>
      </c>
      <c r="M135" s="54">
        <f t="shared" si="16"/>
        <v>48214</v>
      </c>
      <c r="N135" s="7"/>
      <c r="O135" s="12"/>
      <c r="P135" s="98"/>
      <c r="Q135" s="98"/>
      <c r="R135" s="98"/>
      <c r="S135" s="98"/>
      <c r="T135" s="3"/>
      <c r="U135" s="98"/>
      <c r="V135" s="98"/>
      <c r="W135" s="98"/>
      <c r="X135" s="98"/>
    </row>
    <row r="136" spans="2:24">
      <c r="B136" s="6"/>
      <c r="C136" s="7">
        <v>73</v>
      </c>
      <c r="D136" s="24">
        <f t="shared" si="13"/>
        <v>0</v>
      </c>
      <c r="E136" s="103">
        <f t="shared" si="14"/>
        <v>0</v>
      </c>
      <c r="F136" s="53"/>
      <c r="G136" s="24">
        <f t="shared" si="11"/>
        <v>0</v>
      </c>
      <c r="H136" s="15">
        <f>IF(G136&gt;0,0,IF(AND(H135=0,SUM(K136:L136)=0),0,IF(D136=0,PPMT(D$53/12,COUNTIF(D$63:D136,0),D$54,Primary_Loan_Amount),0)))</f>
        <v>0</v>
      </c>
      <c r="I136" s="103">
        <f>-SUM(Primary_Loan_Amount)-SUM(H$63:H136)</f>
        <v>-23217621.943162207</v>
      </c>
      <c r="J136" s="24">
        <f t="shared" si="12"/>
        <v>0</v>
      </c>
      <c r="K136" s="51">
        <f>IF(L136=1,0,IF(SUM(K$64:K135)&gt;=Construction_Timeline,0,1))</f>
        <v>0</v>
      </c>
      <c r="L136" s="13">
        <f t="shared" si="15"/>
        <v>0</v>
      </c>
      <c r="M136" s="54">
        <f t="shared" si="16"/>
        <v>48245</v>
      </c>
      <c r="N136" s="7"/>
      <c r="O136" s="12"/>
      <c r="P136" s="98"/>
      <c r="Q136" s="98"/>
      <c r="R136" s="98"/>
      <c r="S136" s="98"/>
      <c r="T136" s="3"/>
      <c r="U136" s="98"/>
      <c r="V136" s="98"/>
      <c r="W136" s="98"/>
      <c r="X136" s="98"/>
    </row>
    <row r="137" spans="2:24">
      <c r="B137" s="6"/>
      <c r="C137" s="7">
        <v>74</v>
      </c>
      <c r="D137" s="24">
        <f t="shared" si="13"/>
        <v>0</v>
      </c>
      <c r="E137" s="103">
        <f t="shared" si="14"/>
        <v>0</v>
      </c>
      <c r="F137" s="53"/>
      <c r="G137" s="24">
        <f t="shared" si="11"/>
        <v>0</v>
      </c>
      <c r="H137" s="15">
        <f>IF(G137&gt;0,0,IF(AND(H136=0,SUM(K137:L137)=0),0,IF(D137=0,PPMT(D$53/12,COUNTIF(D$63:D137,0),D$54,Primary_Loan_Amount),0)))</f>
        <v>0</v>
      </c>
      <c r="I137" s="103">
        <f>-SUM(Primary_Loan_Amount)-SUM(H$63:H137)</f>
        <v>-23217621.943162207</v>
      </c>
      <c r="J137" s="24">
        <f t="shared" si="12"/>
        <v>0</v>
      </c>
      <c r="K137" s="51">
        <f>IF(L137=1,0,IF(SUM(K$64:K136)&gt;=Construction_Timeline,0,1))</f>
        <v>0</v>
      </c>
      <c r="L137" s="13">
        <f t="shared" si="15"/>
        <v>0</v>
      </c>
      <c r="M137" s="54">
        <f t="shared" si="16"/>
        <v>48274</v>
      </c>
      <c r="N137" s="7"/>
      <c r="O137" s="12"/>
      <c r="P137" s="98"/>
      <c r="Q137" s="98"/>
      <c r="R137" s="98"/>
      <c r="S137" s="98"/>
      <c r="T137" s="3"/>
      <c r="U137" s="98"/>
      <c r="V137" s="98"/>
      <c r="W137" s="98"/>
      <c r="X137" s="98"/>
    </row>
    <row r="138" spans="2:24">
      <c r="B138" s="6"/>
      <c r="C138" s="7">
        <v>75</v>
      </c>
      <c r="D138" s="24">
        <f t="shared" si="13"/>
        <v>0</v>
      </c>
      <c r="E138" s="103">
        <f t="shared" si="14"/>
        <v>0</v>
      </c>
      <c r="F138" s="53"/>
      <c r="G138" s="24">
        <f t="shared" si="11"/>
        <v>0</v>
      </c>
      <c r="H138" s="15">
        <f>IF(G138&gt;0,0,IF(AND(H137=0,SUM(K138:L138)=0),0,IF(D138=0,PPMT(D$53/12,COUNTIF(D$63:D138,0),D$54,Primary_Loan_Amount),0)))</f>
        <v>0</v>
      </c>
      <c r="I138" s="103">
        <f>-SUM(Primary_Loan_Amount)-SUM(H$63:H138)</f>
        <v>-23217621.943162207</v>
      </c>
      <c r="J138" s="24">
        <f t="shared" si="12"/>
        <v>0</v>
      </c>
      <c r="K138" s="51">
        <f>IF(L138=1,0,IF(SUM(K$64:K137)&gt;=Construction_Timeline,0,1))</f>
        <v>0</v>
      </c>
      <c r="L138" s="13">
        <f t="shared" si="15"/>
        <v>0</v>
      </c>
      <c r="M138" s="54">
        <f t="shared" si="16"/>
        <v>48305</v>
      </c>
      <c r="N138" s="7"/>
      <c r="O138" s="12"/>
      <c r="P138" s="98"/>
      <c r="Q138" s="98"/>
      <c r="R138" s="98"/>
      <c r="S138" s="98"/>
      <c r="T138" s="3"/>
      <c r="U138" s="98"/>
      <c r="V138" s="98"/>
      <c r="W138" s="98"/>
      <c r="X138" s="98"/>
    </row>
    <row r="139" spans="2:24">
      <c r="B139" s="6"/>
      <c r="C139" s="7">
        <v>76</v>
      </c>
      <c r="D139" s="24">
        <f t="shared" si="13"/>
        <v>0</v>
      </c>
      <c r="E139" s="103">
        <f t="shared" si="14"/>
        <v>0</v>
      </c>
      <c r="F139" s="53"/>
      <c r="G139" s="24">
        <f t="shared" si="11"/>
        <v>0</v>
      </c>
      <c r="H139" s="15">
        <f>IF(G139&gt;0,0,IF(AND(H138=0,SUM(K139:L139)=0),0,IF(D139=0,PPMT(D$53/12,COUNTIF(D$63:D139,0),D$54,Primary_Loan_Amount),0)))</f>
        <v>0</v>
      </c>
      <c r="I139" s="103">
        <f>-SUM(Primary_Loan_Amount)-SUM(H$63:H139)</f>
        <v>-23217621.943162207</v>
      </c>
      <c r="J139" s="24">
        <f t="shared" si="12"/>
        <v>0</v>
      </c>
      <c r="K139" s="51">
        <f>IF(L139=1,0,IF(SUM(K$64:K138)&gt;=Construction_Timeline,0,1))</f>
        <v>0</v>
      </c>
      <c r="L139" s="13">
        <f t="shared" si="15"/>
        <v>0</v>
      </c>
      <c r="M139" s="54">
        <f t="shared" si="16"/>
        <v>48335</v>
      </c>
      <c r="N139" s="7"/>
      <c r="O139" s="12"/>
      <c r="P139" s="98"/>
      <c r="Q139" s="98"/>
      <c r="R139" s="98"/>
      <c r="S139" s="98"/>
      <c r="T139" s="3"/>
      <c r="U139" s="98"/>
      <c r="V139" s="98"/>
      <c r="W139" s="98"/>
      <c r="X139" s="98"/>
    </row>
    <row r="140" spans="2:24">
      <c r="B140" s="6"/>
      <c r="C140" s="7">
        <v>77</v>
      </c>
      <c r="D140" s="24">
        <f t="shared" si="13"/>
        <v>0</v>
      </c>
      <c r="E140" s="103">
        <f t="shared" si="14"/>
        <v>0</v>
      </c>
      <c r="F140" s="53"/>
      <c r="G140" s="24">
        <f t="shared" si="11"/>
        <v>0</v>
      </c>
      <c r="H140" s="15">
        <f>IF(G140&gt;0,0,IF(AND(H139=0,SUM(K140:L140)=0),0,IF(D140=0,PPMT(D$53/12,COUNTIF(D$63:D140,0),D$54,Primary_Loan_Amount),0)))</f>
        <v>0</v>
      </c>
      <c r="I140" s="103">
        <f>-SUM(Primary_Loan_Amount)-SUM(H$63:H140)</f>
        <v>-23217621.943162207</v>
      </c>
      <c r="J140" s="24">
        <f t="shared" si="12"/>
        <v>0</v>
      </c>
      <c r="K140" s="51">
        <f>IF(L140=1,0,IF(SUM(K$64:K139)&gt;=Construction_Timeline,0,1))</f>
        <v>0</v>
      </c>
      <c r="L140" s="13">
        <f t="shared" si="15"/>
        <v>0</v>
      </c>
      <c r="M140" s="54">
        <f t="shared" si="16"/>
        <v>48366</v>
      </c>
      <c r="N140" s="7"/>
      <c r="O140" s="12"/>
      <c r="P140" s="98"/>
      <c r="Q140" s="98"/>
      <c r="R140" s="98"/>
      <c r="S140" s="98"/>
      <c r="T140" s="3"/>
      <c r="U140" s="98"/>
      <c r="V140" s="98"/>
      <c r="W140" s="98"/>
      <c r="X140" s="98"/>
    </row>
    <row r="141" spans="2:24">
      <c r="B141" s="6"/>
      <c r="C141" s="7">
        <v>78</v>
      </c>
      <c r="D141" s="24">
        <f t="shared" si="13"/>
        <v>0</v>
      </c>
      <c r="E141" s="103">
        <f t="shared" si="14"/>
        <v>0</v>
      </c>
      <c r="F141" s="53"/>
      <c r="G141" s="24">
        <f t="shared" si="11"/>
        <v>0</v>
      </c>
      <c r="H141" s="15">
        <f>IF(G141&gt;0,0,IF(AND(H140=0,SUM(K141:L141)=0),0,IF(D141=0,PPMT(D$53/12,COUNTIF(D$63:D141,0),D$54,Primary_Loan_Amount),0)))</f>
        <v>0</v>
      </c>
      <c r="I141" s="103">
        <f>-SUM(Primary_Loan_Amount)-SUM(H$63:H141)</f>
        <v>-23217621.943162207</v>
      </c>
      <c r="J141" s="24">
        <f t="shared" si="12"/>
        <v>0</v>
      </c>
      <c r="K141" s="51">
        <f>IF(L141=1,0,IF(SUM(K$64:K140)&gt;=Construction_Timeline,0,1))</f>
        <v>0</v>
      </c>
      <c r="L141" s="13">
        <f t="shared" si="15"/>
        <v>0</v>
      </c>
      <c r="M141" s="54">
        <f t="shared" si="16"/>
        <v>48396</v>
      </c>
      <c r="N141" s="7"/>
      <c r="O141" s="12"/>
      <c r="P141" s="98"/>
      <c r="Q141" s="98"/>
      <c r="R141" s="98"/>
      <c r="S141" s="98"/>
      <c r="T141" s="3"/>
      <c r="U141" s="98"/>
      <c r="V141" s="98"/>
      <c r="W141" s="98"/>
      <c r="X141" s="98"/>
    </row>
    <row r="142" spans="2:24">
      <c r="B142" s="6"/>
      <c r="C142" s="7">
        <v>79</v>
      </c>
      <c r="D142" s="24">
        <f t="shared" si="13"/>
        <v>0</v>
      </c>
      <c r="E142" s="103">
        <f t="shared" si="14"/>
        <v>0</v>
      </c>
      <c r="F142" s="53"/>
      <c r="G142" s="24">
        <f t="shared" si="11"/>
        <v>0</v>
      </c>
      <c r="H142" s="15">
        <f>IF(G142&gt;0,0,IF(AND(H141=0,SUM(K142:L142)=0),0,IF(D142=0,PPMT(D$53/12,COUNTIF(D$63:D142,0),D$54,Primary_Loan_Amount),0)))</f>
        <v>0</v>
      </c>
      <c r="I142" s="103">
        <f>-SUM(Primary_Loan_Amount)-SUM(H$63:H142)</f>
        <v>-23217621.943162207</v>
      </c>
      <c r="J142" s="24">
        <f t="shared" si="12"/>
        <v>0</v>
      </c>
      <c r="K142" s="51">
        <f>IF(L142=1,0,IF(SUM(K$64:K141)&gt;=Construction_Timeline,0,1))</f>
        <v>0</v>
      </c>
      <c r="L142" s="13">
        <f t="shared" si="15"/>
        <v>0</v>
      </c>
      <c r="M142" s="54">
        <f t="shared" si="16"/>
        <v>48427</v>
      </c>
      <c r="N142" s="7"/>
      <c r="O142" s="12"/>
      <c r="P142" s="98"/>
      <c r="Q142" s="98"/>
      <c r="R142" s="98"/>
      <c r="S142" s="98"/>
      <c r="T142" s="3"/>
      <c r="U142" s="98"/>
      <c r="V142" s="98"/>
      <c r="W142" s="98"/>
      <c r="X142" s="98"/>
    </row>
    <row r="143" spans="2:24">
      <c r="B143" s="6"/>
      <c r="C143" s="7">
        <v>80</v>
      </c>
      <c r="D143" s="24">
        <f t="shared" si="13"/>
        <v>0</v>
      </c>
      <c r="E143" s="103">
        <f t="shared" si="14"/>
        <v>0</v>
      </c>
      <c r="F143" s="53"/>
      <c r="G143" s="24">
        <f t="shared" si="11"/>
        <v>0</v>
      </c>
      <c r="H143" s="15">
        <f>IF(G143&gt;0,0,IF(AND(H142=0,SUM(K143:L143)=0),0,IF(D143=0,PPMT(D$53/12,COUNTIF(D$63:D143,0),D$54,Primary_Loan_Amount),0)))</f>
        <v>0</v>
      </c>
      <c r="I143" s="103">
        <f>-SUM(Primary_Loan_Amount)-SUM(H$63:H143)</f>
        <v>-23217621.943162207</v>
      </c>
      <c r="J143" s="24">
        <f t="shared" si="12"/>
        <v>0</v>
      </c>
      <c r="K143" s="51">
        <f>IF(L143=1,0,IF(SUM(K$64:K142)&gt;=Construction_Timeline,0,1))</f>
        <v>0</v>
      </c>
      <c r="L143" s="13">
        <f t="shared" si="15"/>
        <v>0</v>
      </c>
      <c r="M143" s="54">
        <f t="shared" si="16"/>
        <v>48458</v>
      </c>
      <c r="N143" s="7"/>
      <c r="O143" s="12"/>
      <c r="P143" s="98"/>
      <c r="Q143" s="98"/>
      <c r="R143" s="98"/>
      <c r="S143" s="98"/>
      <c r="T143" s="3"/>
      <c r="U143" s="98"/>
      <c r="V143" s="98"/>
      <c r="W143" s="98"/>
      <c r="X143" s="98"/>
    </row>
    <row r="144" spans="2:24">
      <c r="B144" s="6"/>
      <c r="C144" s="7">
        <v>81</v>
      </c>
      <c r="D144" s="24">
        <f t="shared" si="13"/>
        <v>0</v>
      </c>
      <c r="E144" s="103">
        <f t="shared" si="14"/>
        <v>0</v>
      </c>
      <c r="F144" s="53"/>
      <c r="G144" s="24">
        <f t="shared" si="11"/>
        <v>0</v>
      </c>
      <c r="H144" s="15">
        <f>IF(G144&gt;0,0,IF(AND(H143=0,SUM(K144:L144)=0),0,IF(D144=0,PPMT(D$53/12,COUNTIF(D$63:D144,0),D$54,Primary_Loan_Amount),0)))</f>
        <v>0</v>
      </c>
      <c r="I144" s="103">
        <f>-SUM(Primary_Loan_Amount)-SUM(H$63:H144)</f>
        <v>-23217621.943162207</v>
      </c>
      <c r="J144" s="24">
        <f t="shared" si="12"/>
        <v>0</v>
      </c>
      <c r="K144" s="51">
        <f>IF(L144=1,0,IF(SUM(K$64:K143)&gt;=Construction_Timeline,0,1))</f>
        <v>0</v>
      </c>
      <c r="L144" s="13">
        <f t="shared" si="15"/>
        <v>0</v>
      </c>
      <c r="M144" s="54">
        <f t="shared" si="16"/>
        <v>48488</v>
      </c>
      <c r="N144" s="7"/>
      <c r="O144" s="12"/>
      <c r="P144" s="98"/>
      <c r="Q144" s="98"/>
      <c r="R144" s="98"/>
      <c r="S144" s="98"/>
      <c r="T144" s="3"/>
      <c r="U144" s="98"/>
      <c r="V144" s="98"/>
      <c r="W144" s="98"/>
      <c r="X144" s="98"/>
    </row>
    <row r="145" spans="2:24">
      <c r="B145" s="6"/>
      <c r="C145" s="7">
        <v>82</v>
      </c>
      <c r="D145" s="24">
        <f t="shared" si="13"/>
        <v>0</v>
      </c>
      <c r="E145" s="103">
        <f t="shared" si="14"/>
        <v>0</v>
      </c>
      <c r="F145" s="53"/>
      <c r="G145" s="24">
        <f t="shared" si="11"/>
        <v>0</v>
      </c>
      <c r="H145" s="15">
        <f>IF(G145&gt;0,0,IF(AND(H144=0,SUM(K145:L145)=0),0,IF(D145=0,PPMT(D$53/12,COUNTIF(D$63:D145,0),D$54,Primary_Loan_Amount),0)))</f>
        <v>0</v>
      </c>
      <c r="I145" s="103">
        <f>-SUM(Primary_Loan_Amount)-SUM(H$63:H145)</f>
        <v>-23217621.943162207</v>
      </c>
      <c r="J145" s="24">
        <f t="shared" si="12"/>
        <v>0</v>
      </c>
      <c r="K145" s="51">
        <f>IF(L145=1,0,IF(SUM(K$64:K144)&gt;=Construction_Timeline,0,1))</f>
        <v>0</v>
      </c>
      <c r="L145" s="13">
        <f t="shared" si="15"/>
        <v>0</v>
      </c>
      <c r="M145" s="54">
        <f t="shared" si="16"/>
        <v>48519</v>
      </c>
      <c r="N145" s="7"/>
      <c r="O145" s="12"/>
      <c r="P145" s="98"/>
      <c r="Q145" s="98"/>
      <c r="R145" s="98"/>
      <c r="S145" s="98"/>
      <c r="T145" s="3"/>
      <c r="U145" s="98"/>
      <c r="V145" s="98"/>
      <c r="W145" s="98"/>
      <c r="X145" s="98"/>
    </row>
    <row r="146" spans="2:24">
      <c r="B146" s="6"/>
      <c r="C146" s="7">
        <v>83</v>
      </c>
      <c r="D146" s="24">
        <f t="shared" si="13"/>
        <v>0</v>
      </c>
      <c r="E146" s="103">
        <f t="shared" si="14"/>
        <v>0</v>
      </c>
      <c r="F146" s="53"/>
      <c r="G146" s="24">
        <f t="shared" si="11"/>
        <v>0</v>
      </c>
      <c r="H146" s="15">
        <f>IF(G146&gt;0,0,IF(AND(H145=0,SUM(K146:L146)=0),0,IF(D146=0,PPMT(D$53/12,COUNTIF(D$63:D146,0),D$54,Primary_Loan_Amount),0)))</f>
        <v>0</v>
      </c>
      <c r="I146" s="103">
        <f>-SUM(Primary_Loan_Amount)-SUM(H$63:H146)</f>
        <v>-23217621.943162207</v>
      </c>
      <c r="J146" s="24">
        <f t="shared" si="12"/>
        <v>0</v>
      </c>
      <c r="K146" s="51">
        <f>IF(L146=1,0,IF(SUM(K$64:K145)&gt;=Construction_Timeline,0,1))</f>
        <v>0</v>
      </c>
      <c r="L146" s="13">
        <f t="shared" si="15"/>
        <v>0</v>
      </c>
      <c r="M146" s="54">
        <f t="shared" si="16"/>
        <v>48549</v>
      </c>
      <c r="N146" s="7"/>
      <c r="O146" s="12"/>
      <c r="P146" s="98"/>
      <c r="Q146" s="98"/>
      <c r="R146" s="98"/>
      <c r="S146" s="98"/>
      <c r="T146" s="3"/>
      <c r="U146" s="98"/>
      <c r="V146" s="98"/>
      <c r="W146" s="98"/>
      <c r="X146" s="98"/>
    </row>
    <row r="147" spans="2:24">
      <c r="B147" s="6"/>
      <c r="C147" s="7">
        <v>84</v>
      </c>
      <c r="D147" s="24">
        <f t="shared" si="13"/>
        <v>0</v>
      </c>
      <c r="E147" s="103">
        <f t="shared" si="14"/>
        <v>0</v>
      </c>
      <c r="F147" s="53"/>
      <c r="G147" s="24">
        <f t="shared" si="11"/>
        <v>0</v>
      </c>
      <c r="H147" s="15">
        <f>IF(G147&gt;0,0,IF(AND(H146=0,SUM(K147:L147)=0),0,IF(D147=0,PPMT(D$53/12,COUNTIF(D$63:D147,0),D$54,Primary_Loan_Amount),0)))</f>
        <v>0</v>
      </c>
      <c r="I147" s="103">
        <f>-SUM(Primary_Loan_Amount)-SUM(H$63:H147)</f>
        <v>-23217621.943162207</v>
      </c>
      <c r="J147" s="24">
        <f t="shared" si="12"/>
        <v>0</v>
      </c>
      <c r="K147" s="51">
        <f>IF(L147=1,0,IF(SUM(K$64:K146)&gt;=Construction_Timeline,0,1))</f>
        <v>0</v>
      </c>
      <c r="L147" s="13">
        <f t="shared" si="15"/>
        <v>0</v>
      </c>
      <c r="M147" s="54">
        <f t="shared" si="16"/>
        <v>48580</v>
      </c>
      <c r="N147" s="7"/>
      <c r="O147" s="12"/>
      <c r="P147" s="98"/>
      <c r="Q147" s="98"/>
      <c r="R147" s="98"/>
      <c r="S147" s="98"/>
      <c r="T147" s="3"/>
      <c r="U147" s="98"/>
      <c r="V147" s="98"/>
      <c r="W147" s="98"/>
      <c r="X147" s="98"/>
    </row>
    <row r="148" spans="2:24">
      <c r="B148" s="6"/>
      <c r="C148" s="7">
        <v>85</v>
      </c>
      <c r="D148" s="24">
        <f t="shared" si="13"/>
        <v>0</v>
      </c>
      <c r="E148" s="103">
        <f t="shared" si="14"/>
        <v>0</v>
      </c>
      <c r="F148" s="53"/>
      <c r="G148" s="24">
        <f t="shared" si="11"/>
        <v>0</v>
      </c>
      <c r="H148" s="15">
        <f>IF(G148&gt;0,0,IF(AND(H147=0,SUM(K148:L148)=0),0,IF(D148=0,PPMT(D$53/12,COUNTIF(D$63:D148,0),D$54,Primary_Loan_Amount),0)))</f>
        <v>0</v>
      </c>
      <c r="I148" s="103">
        <f>-SUM(Primary_Loan_Amount)-SUM(H$63:H148)</f>
        <v>-23217621.943162207</v>
      </c>
      <c r="J148" s="24">
        <f t="shared" si="12"/>
        <v>0</v>
      </c>
      <c r="K148" s="51">
        <f>IF(L148=1,0,IF(SUM(K$64:K147)&gt;=Construction_Timeline,0,1))</f>
        <v>0</v>
      </c>
      <c r="L148" s="13">
        <f t="shared" si="15"/>
        <v>0</v>
      </c>
      <c r="M148" s="54">
        <f t="shared" si="16"/>
        <v>48611</v>
      </c>
      <c r="N148" s="7"/>
      <c r="O148" s="12"/>
      <c r="P148" s="98"/>
      <c r="Q148" s="98"/>
      <c r="R148" s="98"/>
      <c r="S148" s="98"/>
      <c r="T148" s="3"/>
      <c r="U148" s="98"/>
      <c r="V148" s="98"/>
      <c r="W148" s="98"/>
      <c r="X148" s="98"/>
    </row>
    <row r="149" spans="2:24">
      <c r="B149" s="6"/>
      <c r="C149" s="7">
        <v>86</v>
      </c>
      <c r="D149" s="24">
        <f t="shared" si="13"/>
        <v>0</v>
      </c>
      <c r="E149" s="103">
        <f t="shared" si="14"/>
        <v>0</v>
      </c>
      <c r="F149" s="53"/>
      <c r="G149" s="24">
        <f t="shared" si="11"/>
        <v>0</v>
      </c>
      <c r="H149" s="15">
        <f>IF(G149&gt;0,0,IF(AND(H148=0,SUM(K149:L149)=0),0,IF(D149=0,PPMT(D$53/12,COUNTIF(D$63:D149,0),D$54,Primary_Loan_Amount),0)))</f>
        <v>0</v>
      </c>
      <c r="I149" s="103">
        <f>-SUM(Primary_Loan_Amount)-SUM(H$63:H149)</f>
        <v>-23217621.943162207</v>
      </c>
      <c r="J149" s="24">
        <f t="shared" si="12"/>
        <v>0</v>
      </c>
      <c r="K149" s="51">
        <f>IF(L149=1,0,IF(SUM(K$64:K148)&gt;=Construction_Timeline,0,1))</f>
        <v>0</v>
      </c>
      <c r="L149" s="13">
        <f t="shared" si="15"/>
        <v>0</v>
      </c>
      <c r="M149" s="54">
        <f t="shared" si="16"/>
        <v>48639</v>
      </c>
      <c r="N149" s="7"/>
      <c r="O149" s="12"/>
      <c r="P149" s="98"/>
      <c r="Q149" s="98"/>
      <c r="R149" s="98"/>
      <c r="S149" s="98"/>
      <c r="T149" s="3"/>
      <c r="U149" s="98"/>
      <c r="V149" s="98"/>
      <c r="W149" s="98"/>
      <c r="X149" s="98"/>
    </row>
    <row r="150" spans="2:24">
      <c r="B150" s="6"/>
      <c r="C150" s="7">
        <v>87</v>
      </c>
      <c r="D150" s="24">
        <f t="shared" si="13"/>
        <v>0</v>
      </c>
      <c r="E150" s="103">
        <f t="shared" si="14"/>
        <v>0</v>
      </c>
      <c r="F150" s="53"/>
      <c r="G150" s="24">
        <f t="shared" si="11"/>
        <v>0</v>
      </c>
      <c r="H150" s="15">
        <f>IF(G150&gt;0,0,IF(AND(H149=0,SUM(K150:L150)=0),0,IF(D150=0,PPMT(D$53/12,COUNTIF(D$63:D150,0),D$54,Primary_Loan_Amount),0)))</f>
        <v>0</v>
      </c>
      <c r="I150" s="103">
        <f>-SUM(Primary_Loan_Amount)-SUM(H$63:H150)</f>
        <v>-23217621.943162207</v>
      </c>
      <c r="J150" s="24">
        <f t="shared" si="12"/>
        <v>0</v>
      </c>
      <c r="K150" s="51">
        <f>IF(L150=1,0,IF(SUM(K$64:K149)&gt;=Construction_Timeline,0,1))</f>
        <v>0</v>
      </c>
      <c r="L150" s="13">
        <f t="shared" si="15"/>
        <v>0</v>
      </c>
      <c r="M150" s="54">
        <f t="shared" si="16"/>
        <v>48670</v>
      </c>
      <c r="N150" s="7"/>
      <c r="O150" s="12"/>
      <c r="P150" s="98"/>
      <c r="Q150" s="98"/>
      <c r="R150" s="98"/>
      <c r="S150" s="98"/>
      <c r="T150" s="3"/>
      <c r="U150" s="98"/>
      <c r="V150" s="98"/>
      <c r="W150" s="98"/>
      <c r="X150" s="98"/>
    </row>
    <row r="151" spans="2:24">
      <c r="B151" s="6"/>
      <c r="C151" s="7">
        <v>88</v>
      </c>
      <c r="D151" s="24">
        <f t="shared" si="13"/>
        <v>0</v>
      </c>
      <c r="E151" s="103">
        <f t="shared" si="14"/>
        <v>0</v>
      </c>
      <c r="F151" s="53"/>
      <c r="G151" s="24">
        <f t="shared" si="11"/>
        <v>0</v>
      </c>
      <c r="H151" s="15">
        <f>IF(G151&gt;0,0,IF(AND(H150=0,SUM(K151:L151)=0),0,IF(D151=0,PPMT(D$53/12,COUNTIF(D$63:D151,0),D$54,Primary_Loan_Amount),0)))</f>
        <v>0</v>
      </c>
      <c r="I151" s="103">
        <f>-SUM(Primary_Loan_Amount)-SUM(H$63:H151)</f>
        <v>-23217621.943162207</v>
      </c>
      <c r="J151" s="24">
        <f t="shared" si="12"/>
        <v>0</v>
      </c>
      <c r="K151" s="51">
        <f>IF(L151=1,0,IF(SUM(K$64:K150)&gt;=Construction_Timeline,0,1))</f>
        <v>0</v>
      </c>
      <c r="L151" s="13">
        <f t="shared" si="15"/>
        <v>0</v>
      </c>
      <c r="M151" s="54">
        <f t="shared" si="16"/>
        <v>48700</v>
      </c>
      <c r="N151" s="7"/>
      <c r="O151" s="12"/>
      <c r="P151" s="98"/>
      <c r="Q151" s="98"/>
      <c r="R151" s="98"/>
      <c r="S151" s="98"/>
      <c r="T151" s="3"/>
      <c r="U151" s="98"/>
      <c r="V151" s="98"/>
      <c r="W151" s="98"/>
      <c r="X151" s="98"/>
    </row>
    <row r="152" spans="2:24">
      <c r="B152" s="6"/>
      <c r="C152" s="7">
        <v>89</v>
      </c>
      <c r="D152" s="24">
        <f t="shared" si="13"/>
        <v>0</v>
      </c>
      <c r="E152" s="103">
        <f t="shared" si="14"/>
        <v>0</v>
      </c>
      <c r="F152" s="53"/>
      <c r="G152" s="24">
        <f t="shared" si="11"/>
        <v>0</v>
      </c>
      <c r="H152" s="15">
        <f>IF(G152&gt;0,0,IF(AND(H151=0,SUM(K152:L152)=0),0,IF(D152=0,PPMT(D$53/12,COUNTIF(D$63:D152,0),D$54,Primary_Loan_Amount),0)))</f>
        <v>0</v>
      </c>
      <c r="I152" s="103">
        <f>-SUM(Primary_Loan_Amount)-SUM(H$63:H152)</f>
        <v>-23217621.943162207</v>
      </c>
      <c r="J152" s="24">
        <f t="shared" si="12"/>
        <v>0</v>
      </c>
      <c r="K152" s="51">
        <f>IF(L152=1,0,IF(SUM(K$64:K151)&gt;=Construction_Timeline,0,1))</f>
        <v>0</v>
      </c>
      <c r="L152" s="13">
        <f t="shared" si="15"/>
        <v>0</v>
      </c>
      <c r="M152" s="54">
        <f t="shared" si="16"/>
        <v>48731</v>
      </c>
      <c r="N152" s="7"/>
      <c r="O152" s="12"/>
      <c r="P152" s="98"/>
      <c r="Q152" s="98"/>
      <c r="R152" s="98"/>
      <c r="S152" s="98"/>
      <c r="T152" s="3"/>
      <c r="U152" s="98"/>
      <c r="V152" s="98"/>
      <c r="W152" s="98"/>
      <c r="X152" s="98"/>
    </row>
    <row r="153" spans="2:24">
      <c r="B153" s="6"/>
      <c r="C153" s="7">
        <v>90</v>
      </c>
      <c r="D153" s="24">
        <f t="shared" si="13"/>
        <v>0</v>
      </c>
      <c r="E153" s="103">
        <f t="shared" si="14"/>
        <v>0</v>
      </c>
      <c r="F153" s="53"/>
      <c r="G153" s="24">
        <f t="shared" si="11"/>
        <v>0</v>
      </c>
      <c r="H153" s="15">
        <f>IF(G153&gt;0,0,IF(AND(H152=0,SUM(K153:L153)=0),0,IF(D153=0,PPMT(D$53/12,COUNTIF(D$63:D153,0),D$54,Primary_Loan_Amount),0)))</f>
        <v>0</v>
      </c>
      <c r="I153" s="103">
        <f>-SUM(Primary_Loan_Amount)-SUM(H$63:H153)</f>
        <v>-23217621.943162207</v>
      </c>
      <c r="J153" s="24">
        <f t="shared" si="12"/>
        <v>0</v>
      </c>
      <c r="K153" s="51">
        <f>IF(L153=1,0,IF(SUM(K$64:K152)&gt;=Construction_Timeline,0,1))</f>
        <v>0</v>
      </c>
      <c r="L153" s="13">
        <f t="shared" si="15"/>
        <v>0</v>
      </c>
      <c r="M153" s="54">
        <f t="shared" si="16"/>
        <v>48761</v>
      </c>
      <c r="N153" s="7"/>
      <c r="O153" s="12"/>
      <c r="P153" s="98"/>
      <c r="Q153" s="98"/>
      <c r="R153" s="98"/>
      <c r="S153" s="98"/>
      <c r="T153" s="3"/>
      <c r="U153" s="98"/>
      <c r="V153" s="98"/>
      <c r="W153" s="98"/>
      <c r="X153" s="98"/>
    </row>
    <row r="154" spans="2:24">
      <c r="B154" s="6"/>
      <c r="C154" s="7">
        <v>91</v>
      </c>
      <c r="D154" s="24">
        <f t="shared" si="13"/>
        <v>0</v>
      </c>
      <c r="E154" s="103">
        <f t="shared" si="14"/>
        <v>0</v>
      </c>
      <c r="F154" s="53"/>
      <c r="G154" s="24">
        <f t="shared" si="11"/>
        <v>0</v>
      </c>
      <c r="H154" s="15">
        <f>IF(G154&gt;0,0,IF(AND(H153=0,SUM(K154:L154)=0),0,IF(D154=0,PPMT(D$53/12,COUNTIF(D$63:D154,0),D$54,Primary_Loan_Amount),0)))</f>
        <v>0</v>
      </c>
      <c r="I154" s="103">
        <f>-SUM(Primary_Loan_Amount)-SUM(H$63:H154)</f>
        <v>-23217621.943162207</v>
      </c>
      <c r="J154" s="24">
        <f t="shared" si="12"/>
        <v>0</v>
      </c>
      <c r="K154" s="51">
        <f>IF(L154=1,0,IF(SUM(K$64:K153)&gt;=Construction_Timeline,0,1))</f>
        <v>0</v>
      </c>
      <c r="L154" s="13">
        <f t="shared" si="15"/>
        <v>0</v>
      </c>
      <c r="M154" s="54">
        <f t="shared" si="16"/>
        <v>48792</v>
      </c>
      <c r="N154" s="7"/>
      <c r="O154" s="12"/>
      <c r="P154" s="98"/>
      <c r="Q154" s="98"/>
      <c r="R154" s="98"/>
      <c r="S154" s="98"/>
      <c r="T154" s="3"/>
      <c r="U154" s="98"/>
      <c r="V154" s="98"/>
      <c r="W154" s="98"/>
      <c r="X154" s="98"/>
    </row>
    <row r="155" spans="2:24">
      <c r="B155" s="6"/>
      <c r="C155" s="7">
        <v>92</v>
      </c>
      <c r="D155" s="24">
        <f t="shared" si="13"/>
        <v>0</v>
      </c>
      <c r="E155" s="103">
        <f t="shared" si="14"/>
        <v>0</v>
      </c>
      <c r="F155" s="53"/>
      <c r="G155" s="24">
        <f t="shared" si="11"/>
        <v>0</v>
      </c>
      <c r="H155" s="15">
        <f>IF(G155&gt;0,0,IF(AND(H154=0,SUM(K155:L155)=0),0,IF(D155=0,PPMT(D$53/12,COUNTIF(D$63:D155,0),D$54,Primary_Loan_Amount),0)))</f>
        <v>0</v>
      </c>
      <c r="I155" s="103">
        <f>-SUM(Primary_Loan_Amount)-SUM(H$63:H155)</f>
        <v>-23217621.943162207</v>
      </c>
      <c r="J155" s="24">
        <f t="shared" si="12"/>
        <v>0</v>
      </c>
      <c r="K155" s="51">
        <f>IF(L155=1,0,IF(SUM(K$64:K154)&gt;=Construction_Timeline,0,1))</f>
        <v>0</v>
      </c>
      <c r="L155" s="13">
        <f t="shared" si="15"/>
        <v>0</v>
      </c>
      <c r="M155" s="54">
        <f t="shared" si="16"/>
        <v>48823</v>
      </c>
      <c r="N155" s="7"/>
      <c r="O155" s="12"/>
      <c r="P155" s="98"/>
      <c r="Q155" s="98"/>
      <c r="R155" s="98"/>
      <c r="S155" s="98"/>
      <c r="T155" s="3"/>
      <c r="U155" s="98"/>
      <c r="V155" s="98"/>
      <c r="W155" s="98"/>
      <c r="X155" s="98"/>
    </row>
    <row r="156" spans="2:24">
      <c r="B156" s="6"/>
      <c r="C156" s="7">
        <v>93</v>
      </c>
      <c r="D156" s="24">
        <f t="shared" si="13"/>
        <v>0</v>
      </c>
      <c r="E156" s="103">
        <f t="shared" si="14"/>
        <v>0</v>
      </c>
      <c r="F156" s="53"/>
      <c r="G156" s="24">
        <f t="shared" si="11"/>
        <v>0</v>
      </c>
      <c r="H156" s="15">
        <f>IF(G156&gt;0,0,IF(AND(H155=0,SUM(K156:L156)=0),0,IF(D156=0,PPMT(D$53/12,COUNTIF(D$63:D156,0),D$54,Primary_Loan_Amount),0)))</f>
        <v>0</v>
      </c>
      <c r="I156" s="103">
        <f>-SUM(Primary_Loan_Amount)-SUM(H$63:H156)</f>
        <v>-23217621.943162207</v>
      </c>
      <c r="J156" s="24">
        <f t="shared" si="12"/>
        <v>0</v>
      </c>
      <c r="K156" s="51">
        <f>IF(L156=1,0,IF(SUM(K$64:K155)&gt;=Construction_Timeline,0,1))</f>
        <v>0</v>
      </c>
      <c r="L156" s="13">
        <f t="shared" si="15"/>
        <v>0</v>
      </c>
      <c r="M156" s="54">
        <f t="shared" si="16"/>
        <v>48853</v>
      </c>
      <c r="N156" s="7"/>
      <c r="O156" s="12"/>
      <c r="P156" s="98"/>
      <c r="Q156" s="98"/>
      <c r="R156" s="98"/>
      <c r="S156" s="98"/>
      <c r="T156" s="3"/>
      <c r="U156" s="98"/>
      <c r="V156" s="98"/>
      <c r="W156" s="98"/>
      <c r="X156" s="98"/>
    </row>
    <row r="157" spans="2:24">
      <c r="B157" s="6"/>
      <c r="C157" s="7">
        <v>94</v>
      </c>
      <c r="D157" s="24">
        <f t="shared" si="13"/>
        <v>0</v>
      </c>
      <c r="E157" s="103">
        <f t="shared" si="14"/>
        <v>0</v>
      </c>
      <c r="F157" s="53"/>
      <c r="G157" s="24">
        <f t="shared" si="11"/>
        <v>0</v>
      </c>
      <c r="H157" s="15">
        <f>IF(G157&gt;0,0,IF(AND(H156=0,SUM(K157:L157)=0),0,IF(D157=0,PPMT(D$53/12,COUNTIF(D$63:D157,0),D$54,Primary_Loan_Amount),0)))</f>
        <v>0</v>
      </c>
      <c r="I157" s="103">
        <f>-SUM(Primary_Loan_Amount)-SUM(H$63:H157)</f>
        <v>-23217621.943162207</v>
      </c>
      <c r="J157" s="24">
        <f t="shared" si="12"/>
        <v>0</v>
      </c>
      <c r="K157" s="51">
        <f>IF(L157=1,0,IF(SUM(K$64:K156)&gt;=Construction_Timeline,0,1))</f>
        <v>0</v>
      </c>
      <c r="L157" s="13">
        <f t="shared" si="15"/>
        <v>0</v>
      </c>
      <c r="M157" s="54">
        <f t="shared" si="16"/>
        <v>48884</v>
      </c>
      <c r="N157" s="7"/>
      <c r="O157" s="12"/>
      <c r="P157" s="98"/>
      <c r="Q157" s="98"/>
      <c r="R157" s="98"/>
      <c r="S157" s="98"/>
      <c r="T157" s="3"/>
      <c r="U157" s="98"/>
      <c r="V157" s="98"/>
      <c r="W157" s="98"/>
      <c r="X157" s="98"/>
    </row>
    <row r="158" spans="2:24">
      <c r="B158" s="6"/>
      <c r="C158" s="7">
        <v>95</v>
      </c>
      <c r="D158" s="24">
        <f t="shared" si="13"/>
        <v>0</v>
      </c>
      <c r="E158" s="103">
        <f t="shared" si="14"/>
        <v>0</v>
      </c>
      <c r="F158" s="53"/>
      <c r="G158" s="24">
        <f t="shared" si="11"/>
        <v>0</v>
      </c>
      <c r="H158" s="15">
        <f>IF(G158&gt;0,0,IF(AND(H157=0,SUM(K158:L158)=0),0,IF(D158=0,PPMT(D$53/12,COUNTIF(D$63:D158,0),D$54,Primary_Loan_Amount),0)))</f>
        <v>0</v>
      </c>
      <c r="I158" s="103">
        <f>-SUM(Primary_Loan_Amount)-SUM(H$63:H158)</f>
        <v>-23217621.943162207</v>
      </c>
      <c r="J158" s="24">
        <f t="shared" si="12"/>
        <v>0</v>
      </c>
      <c r="K158" s="51">
        <f>IF(L158=1,0,IF(SUM(K$64:K157)&gt;=Construction_Timeline,0,1))</f>
        <v>0</v>
      </c>
      <c r="L158" s="13">
        <f t="shared" si="15"/>
        <v>0</v>
      </c>
      <c r="M158" s="54">
        <f t="shared" si="16"/>
        <v>48914</v>
      </c>
      <c r="N158" s="7"/>
      <c r="O158" s="12"/>
      <c r="P158" s="98"/>
      <c r="Q158" s="98"/>
      <c r="R158" s="98"/>
      <c r="S158" s="98"/>
      <c r="T158" s="3"/>
      <c r="U158" s="98"/>
      <c r="V158" s="98"/>
      <c r="W158" s="98"/>
      <c r="X158" s="98"/>
    </row>
    <row r="159" spans="2:24">
      <c r="B159" s="6"/>
      <c r="C159" s="7">
        <v>96</v>
      </c>
      <c r="D159" s="24">
        <f t="shared" si="13"/>
        <v>0</v>
      </c>
      <c r="E159" s="103">
        <f t="shared" si="14"/>
        <v>0</v>
      </c>
      <c r="F159" s="53"/>
      <c r="G159" s="24">
        <f t="shared" ref="G159:G190" si="17">IF(C159=SUM(Month_of_Sale,PreDev_Timeline,Construction_Timeline),Sale_Price*(1-D$44),0)</f>
        <v>0</v>
      </c>
      <c r="H159" s="15">
        <f>IF(G159&gt;0,0,IF(AND(H158=0,SUM(K159:L159)=0),0,IF(D159=0,PPMT(D$53/12,COUNTIF(D$63:D159,0),D$54,Primary_Loan_Amount),0)))</f>
        <v>0</v>
      </c>
      <c r="I159" s="103">
        <f>-SUM(Primary_Loan_Amount)-SUM(H$63:H159)</f>
        <v>-23217621.943162207</v>
      </c>
      <c r="J159" s="24">
        <f t="shared" ref="J159:J190" si="18">SUM(D159,F159,G159)+IF(G159&gt;0,I159)</f>
        <v>0</v>
      </c>
      <c r="K159" s="51">
        <f>IF(L159=1,0,IF(SUM(K$64:K158)&gt;=Construction_Timeline,0,1))</f>
        <v>0</v>
      </c>
      <c r="L159" s="13">
        <f t="shared" si="15"/>
        <v>0</v>
      </c>
      <c r="M159" s="54">
        <f t="shared" si="16"/>
        <v>48945</v>
      </c>
      <c r="N159" s="7"/>
      <c r="O159" s="12"/>
      <c r="P159" s="98"/>
      <c r="Q159" s="98"/>
      <c r="R159" s="98"/>
      <c r="S159" s="98"/>
      <c r="T159" s="3"/>
      <c r="U159" s="98"/>
      <c r="V159" s="98"/>
      <c r="W159" s="98"/>
      <c r="X159" s="98"/>
    </row>
    <row r="160" spans="2:24">
      <c r="B160" s="6"/>
      <c r="C160" s="7">
        <v>97</v>
      </c>
      <c r="D160" s="24">
        <f t="shared" ref="D160:D191" si="19">IF(AND(C159&gt;0,E159&gt;=D159),E159,IF(L160=1,-Pre_Development_Costs/PreDev_Timeline,IF(K160=1,MAX(E159,-D$43/Construction_Timeline),0)))</f>
        <v>0</v>
      </c>
      <c r="E160" s="103">
        <f t="shared" ref="E160:E191" si="20">E159-D160</f>
        <v>0</v>
      </c>
      <c r="F160" s="53"/>
      <c r="G160" s="24">
        <f t="shared" si="17"/>
        <v>0</v>
      </c>
      <c r="H160" s="15">
        <f>IF(G160&gt;0,0,IF(AND(H159=0,SUM(K160:L160)=0),0,IF(D160=0,PPMT(D$53/12,COUNTIF(D$63:D160,0),D$54,Primary_Loan_Amount),0)))</f>
        <v>0</v>
      </c>
      <c r="I160" s="103">
        <f>-SUM(Primary_Loan_Amount)-SUM(H$63:H160)</f>
        <v>-23217621.943162207</v>
      </c>
      <c r="J160" s="24">
        <f t="shared" si="18"/>
        <v>0</v>
      </c>
      <c r="K160" s="51">
        <f>IF(L160=1,0,IF(SUM(K$64:K159)&gt;=Construction_Timeline,0,1))</f>
        <v>0</v>
      </c>
      <c r="L160" s="13">
        <f t="shared" ref="L160:L191" si="21">IF(C160&lt;=PreDev_Timeline,1,0)</f>
        <v>0</v>
      </c>
      <c r="M160" s="54">
        <f t="shared" si="16"/>
        <v>48976</v>
      </c>
      <c r="N160" s="7"/>
      <c r="O160" s="12"/>
      <c r="P160" s="98"/>
      <c r="Q160" s="98"/>
      <c r="R160" s="98"/>
      <c r="S160" s="98"/>
      <c r="T160" s="3"/>
      <c r="U160" s="98"/>
      <c r="V160" s="98"/>
      <c r="W160" s="98"/>
      <c r="X160" s="98"/>
    </row>
    <row r="161" spans="2:24">
      <c r="B161" s="6"/>
      <c r="C161" s="7">
        <v>98</v>
      </c>
      <c r="D161" s="24">
        <f t="shared" si="19"/>
        <v>0</v>
      </c>
      <c r="E161" s="103">
        <f t="shared" si="20"/>
        <v>0</v>
      </c>
      <c r="F161" s="53"/>
      <c r="G161" s="24">
        <f t="shared" si="17"/>
        <v>0</v>
      </c>
      <c r="H161" s="15">
        <f>IF(G161&gt;0,0,IF(AND(H160=0,SUM(K161:L161)=0),0,IF(D161=0,PPMT(D$53/12,COUNTIF(D$63:D161,0),D$54,Primary_Loan_Amount),0)))</f>
        <v>0</v>
      </c>
      <c r="I161" s="103">
        <f>-SUM(Primary_Loan_Amount)-SUM(H$63:H161)</f>
        <v>-23217621.943162207</v>
      </c>
      <c r="J161" s="24">
        <f t="shared" si="18"/>
        <v>0</v>
      </c>
      <c r="K161" s="51">
        <f>IF(L161=1,0,IF(SUM(K$64:K160)&gt;=Construction_Timeline,0,1))</f>
        <v>0</v>
      </c>
      <c r="L161" s="13">
        <f t="shared" si="21"/>
        <v>0</v>
      </c>
      <c r="M161" s="54">
        <f t="shared" si="16"/>
        <v>49004</v>
      </c>
      <c r="N161" s="7"/>
      <c r="O161" s="12"/>
      <c r="P161" s="98"/>
      <c r="Q161" s="98"/>
      <c r="R161" s="98"/>
      <c r="S161" s="98"/>
      <c r="T161" s="3"/>
      <c r="U161" s="98"/>
      <c r="V161" s="98"/>
      <c r="W161" s="98"/>
      <c r="X161" s="98"/>
    </row>
    <row r="162" spans="2:24">
      <c r="B162" s="6"/>
      <c r="C162" s="7">
        <v>99</v>
      </c>
      <c r="D162" s="24">
        <f t="shared" si="19"/>
        <v>0</v>
      </c>
      <c r="E162" s="103">
        <f t="shared" si="20"/>
        <v>0</v>
      </c>
      <c r="F162" s="53"/>
      <c r="G162" s="24">
        <f t="shared" si="17"/>
        <v>0</v>
      </c>
      <c r="H162" s="15">
        <f>IF(G162&gt;0,0,IF(AND(H161=0,SUM(K162:L162)=0),0,IF(D162=0,PPMT(D$53/12,COUNTIF(D$63:D162,0),D$54,Primary_Loan_Amount),0)))</f>
        <v>0</v>
      </c>
      <c r="I162" s="103">
        <f>-SUM(Primary_Loan_Amount)-SUM(H$63:H162)</f>
        <v>-23217621.943162207</v>
      </c>
      <c r="J162" s="24">
        <f t="shared" si="18"/>
        <v>0</v>
      </c>
      <c r="K162" s="51">
        <f>IF(L162=1,0,IF(SUM(K$64:K161)&gt;=Construction_Timeline,0,1))</f>
        <v>0</v>
      </c>
      <c r="L162" s="13">
        <f t="shared" si="21"/>
        <v>0</v>
      </c>
      <c r="M162" s="54">
        <f t="shared" si="16"/>
        <v>49035</v>
      </c>
      <c r="N162" s="7"/>
      <c r="O162" s="12"/>
      <c r="P162" s="98"/>
      <c r="Q162" s="98"/>
      <c r="R162" s="98"/>
      <c r="S162" s="98"/>
      <c r="T162" s="3"/>
      <c r="U162" s="98"/>
      <c r="V162" s="98"/>
      <c r="W162" s="98"/>
      <c r="X162" s="98"/>
    </row>
    <row r="163" spans="2:24">
      <c r="B163" s="6"/>
      <c r="C163" s="7">
        <v>100</v>
      </c>
      <c r="D163" s="24">
        <f t="shared" si="19"/>
        <v>0</v>
      </c>
      <c r="E163" s="103">
        <f t="shared" si="20"/>
        <v>0</v>
      </c>
      <c r="F163" s="53"/>
      <c r="G163" s="24">
        <f t="shared" si="17"/>
        <v>0</v>
      </c>
      <c r="H163" s="15">
        <f>IF(G163&gt;0,0,IF(AND(H162=0,SUM(K163:L163)=0),0,IF(D163=0,PPMT(D$53/12,COUNTIF(D$63:D163,0),D$54,Primary_Loan_Amount),0)))</f>
        <v>0</v>
      </c>
      <c r="I163" s="103">
        <f>-SUM(Primary_Loan_Amount)-SUM(H$63:H163)</f>
        <v>-23217621.943162207</v>
      </c>
      <c r="J163" s="24">
        <f t="shared" si="18"/>
        <v>0</v>
      </c>
      <c r="K163" s="51">
        <f>IF(L163=1,0,IF(SUM(K$64:K162)&gt;=Construction_Timeline,0,1))</f>
        <v>0</v>
      </c>
      <c r="L163" s="13">
        <f t="shared" si="21"/>
        <v>0</v>
      </c>
      <c r="M163" s="54">
        <f t="shared" si="16"/>
        <v>49065</v>
      </c>
      <c r="N163" s="7"/>
      <c r="O163" s="12"/>
      <c r="P163" s="98"/>
      <c r="Q163" s="98"/>
      <c r="R163" s="98"/>
      <c r="S163" s="98"/>
      <c r="T163" s="3"/>
      <c r="U163" s="98"/>
      <c r="V163" s="98"/>
      <c r="W163" s="98"/>
      <c r="X163" s="98"/>
    </row>
    <row r="164" spans="2:24">
      <c r="B164" s="6"/>
      <c r="C164" s="7">
        <v>101</v>
      </c>
      <c r="D164" s="24">
        <f t="shared" si="19"/>
        <v>0</v>
      </c>
      <c r="E164" s="103">
        <f t="shared" si="20"/>
        <v>0</v>
      </c>
      <c r="F164" s="53"/>
      <c r="G164" s="24">
        <f t="shared" si="17"/>
        <v>0</v>
      </c>
      <c r="H164" s="15">
        <f>IF(G164&gt;0,0,IF(AND(H163=0,SUM(K164:L164)=0),0,IF(D164=0,PPMT(D$53/12,COUNTIF(D$63:D164,0),D$54,Primary_Loan_Amount),0)))</f>
        <v>0</v>
      </c>
      <c r="I164" s="103">
        <f>-SUM(Primary_Loan_Amount)-SUM(H$63:H164)</f>
        <v>-23217621.943162207</v>
      </c>
      <c r="J164" s="24">
        <f t="shared" si="18"/>
        <v>0</v>
      </c>
      <c r="K164" s="51">
        <f>IF(L164=1,0,IF(SUM(K$64:K163)&gt;=Construction_Timeline,0,1))</f>
        <v>0</v>
      </c>
      <c r="L164" s="13">
        <f t="shared" si="21"/>
        <v>0</v>
      </c>
      <c r="M164" s="54">
        <f t="shared" si="16"/>
        <v>49096</v>
      </c>
      <c r="N164" s="7"/>
      <c r="O164" s="12"/>
      <c r="P164" s="98"/>
      <c r="Q164" s="98"/>
      <c r="R164" s="98"/>
      <c r="S164" s="98"/>
      <c r="T164" s="3"/>
      <c r="U164" s="98"/>
      <c r="V164" s="98"/>
      <c r="W164" s="98"/>
      <c r="X164" s="98"/>
    </row>
    <row r="165" spans="2:24">
      <c r="B165" s="6"/>
      <c r="C165" s="7">
        <v>102</v>
      </c>
      <c r="D165" s="24">
        <f t="shared" si="19"/>
        <v>0</v>
      </c>
      <c r="E165" s="103">
        <f t="shared" si="20"/>
        <v>0</v>
      </c>
      <c r="F165" s="53"/>
      <c r="G165" s="24">
        <f t="shared" si="17"/>
        <v>0</v>
      </c>
      <c r="H165" s="15">
        <f>IF(G165&gt;0,0,IF(AND(H164=0,SUM(K165:L165)=0),0,IF(D165=0,PPMT(D$53/12,COUNTIF(D$63:D165,0),D$54,Primary_Loan_Amount),0)))</f>
        <v>0</v>
      </c>
      <c r="I165" s="103">
        <f>-SUM(Primary_Loan_Amount)-SUM(H$63:H165)</f>
        <v>-23217621.943162207</v>
      </c>
      <c r="J165" s="24">
        <f t="shared" si="18"/>
        <v>0</v>
      </c>
      <c r="K165" s="51">
        <f>IF(L165=1,0,IF(SUM(K$64:K164)&gt;=Construction_Timeline,0,1))</f>
        <v>0</v>
      </c>
      <c r="L165" s="13">
        <f t="shared" si="21"/>
        <v>0</v>
      </c>
      <c r="M165" s="54">
        <f t="shared" si="16"/>
        <v>49126</v>
      </c>
      <c r="N165" s="7"/>
      <c r="O165" s="12"/>
      <c r="P165" s="98"/>
      <c r="Q165" s="98"/>
      <c r="R165" s="98"/>
      <c r="S165" s="98"/>
      <c r="T165" s="3"/>
      <c r="U165" s="98"/>
      <c r="V165" s="98"/>
      <c r="W165" s="98"/>
      <c r="X165" s="98"/>
    </row>
    <row r="166" spans="2:24">
      <c r="B166" s="6"/>
      <c r="C166" s="7">
        <v>103</v>
      </c>
      <c r="D166" s="24">
        <f t="shared" si="19"/>
        <v>0</v>
      </c>
      <c r="E166" s="103">
        <f t="shared" si="20"/>
        <v>0</v>
      </c>
      <c r="F166" s="53"/>
      <c r="G166" s="24">
        <f t="shared" si="17"/>
        <v>0</v>
      </c>
      <c r="H166" s="15">
        <f>IF(G166&gt;0,0,IF(AND(H165=0,SUM(K166:L166)=0),0,IF(D166=0,PPMT(D$53/12,COUNTIF(D$63:D166,0),D$54,Primary_Loan_Amount),0)))</f>
        <v>0</v>
      </c>
      <c r="I166" s="103">
        <f>-SUM(Primary_Loan_Amount)-SUM(H$63:H166)</f>
        <v>-23217621.943162207</v>
      </c>
      <c r="J166" s="24">
        <f t="shared" si="18"/>
        <v>0</v>
      </c>
      <c r="K166" s="51">
        <f>IF(L166=1,0,IF(SUM(K$64:K165)&gt;=Construction_Timeline,0,1))</f>
        <v>0</v>
      </c>
      <c r="L166" s="13">
        <f t="shared" si="21"/>
        <v>0</v>
      </c>
      <c r="M166" s="54">
        <f t="shared" si="16"/>
        <v>49157</v>
      </c>
      <c r="N166" s="7"/>
      <c r="O166" s="12"/>
      <c r="P166" s="98"/>
      <c r="Q166" s="98"/>
      <c r="R166" s="98"/>
      <c r="S166" s="98"/>
      <c r="T166" s="3"/>
      <c r="U166" s="98"/>
      <c r="V166" s="98"/>
      <c r="W166" s="98"/>
      <c r="X166" s="98"/>
    </row>
    <row r="167" spans="2:24">
      <c r="B167" s="6"/>
      <c r="C167" s="7">
        <v>104</v>
      </c>
      <c r="D167" s="24">
        <f t="shared" si="19"/>
        <v>0</v>
      </c>
      <c r="E167" s="103">
        <f t="shared" si="20"/>
        <v>0</v>
      </c>
      <c r="F167" s="53"/>
      <c r="G167" s="24">
        <f t="shared" si="17"/>
        <v>0</v>
      </c>
      <c r="H167" s="15">
        <f>IF(G167&gt;0,0,IF(AND(H166=0,SUM(K167:L167)=0),0,IF(D167=0,PPMT(D$53/12,COUNTIF(D$63:D167,0),D$54,Primary_Loan_Amount),0)))</f>
        <v>0</v>
      </c>
      <c r="I167" s="103">
        <f>-SUM(Primary_Loan_Amount)-SUM(H$63:H167)</f>
        <v>-23217621.943162207</v>
      </c>
      <c r="J167" s="24">
        <f t="shared" si="18"/>
        <v>0</v>
      </c>
      <c r="K167" s="51">
        <f>IF(L167=1,0,IF(SUM(K$64:K166)&gt;=Construction_Timeline,0,1))</f>
        <v>0</v>
      </c>
      <c r="L167" s="13">
        <f t="shared" si="21"/>
        <v>0</v>
      </c>
      <c r="M167" s="54">
        <f t="shared" si="16"/>
        <v>49188</v>
      </c>
      <c r="N167" s="7"/>
      <c r="O167" s="12"/>
      <c r="P167" s="98"/>
      <c r="Q167" s="98"/>
      <c r="R167" s="98"/>
      <c r="S167" s="98"/>
      <c r="T167" s="3"/>
      <c r="U167" s="98"/>
      <c r="V167" s="98"/>
      <c r="W167" s="98"/>
      <c r="X167" s="98"/>
    </row>
    <row r="168" spans="2:24">
      <c r="B168" s="6"/>
      <c r="C168" s="7">
        <v>105</v>
      </c>
      <c r="D168" s="24">
        <f t="shared" si="19"/>
        <v>0</v>
      </c>
      <c r="E168" s="103">
        <f t="shared" si="20"/>
        <v>0</v>
      </c>
      <c r="F168" s="53"/>
      <c r="G168" s="24">
        <f t="shared" si="17"/>
        <v>0</v>
      </c>
      <c r="H168" s="15">
        <f>IF(G168&gt;0,0,IF(AND(H167=0,SUM(K168:L168)=0),0,IF(D168=0,PPMT(D$53/12,COUNTIF(D$63:D168,0),D$54,Primary_Loan_Amount),0)))</f>
        <v>0</v>
      </c>
      <c r="I168" s="103">
        <f>-SUM(Primary_Loan_Amount)-SUM(H$63:H168)</f>
        <v>-23217621.943162207</v>
      </c>
      <c r="J168" s="24">
        <f t="shared" si="18"/>
        <v>0</v>
      </c>
      <c r="K168" s="51">
        <f>IF(L168=1,0,IF(SUM(K$64:K167)&gt;=Construction_Timeline,0,1))</f>
        <v>0</v>
      </c>
      <c r="L168" s="13">
        <f t="shared" si="21"/>
        <v>0</v>
      </c>
      <c r="M168" s="54">
        <f t="shared" si="16"/>
        <v>49218</v>
      </c>
      <c r="N168" s="7"/>
      <c r="O168" s="12"/>
      <c r="P168" s="98"/>
      <c r="Q168" s="98"/>
      <c r="R168" s="98"/>
      <c r="S168" s="98"/>
      <c r="T168" s="3"/>
      <c r="U168" s="98"/>
      <c r="V168" s="98"/>
      <c r="W168" s="98"/>
      <c r="X168" s="98"/>
    </row>
    <row r="169" spans="2:24">
      <c r="B169" s="6"/>
      <c r="C169" s="7">
        <v>106</v>
      </c>
      <c r="D169" s="24">
        <f t="shared" si="19"/>
        <v>0</v>
      </c>
      <c r="E169" s="103">
        <f t="shared" si="20"/>
        <v>0</v>
      </c>
      <c r="F169" s="53"/>
      <c r="G169" s="24">
        <f t="shared" si="17"/>
        <v>0</v>
      </c>
      <c r="H169" s="15">
        <f>IF(G169&gt;0,0,IF(AND(H168=0,SUM(K169:L169)=0),0,IF(D169=0,PPMT(D$53/12,COUNTIF(D$63:D169,0),D$54,Primary_Loan_Amount),0)))</f>
        <v>0</v>
      </c>
      <c r="I169" s="103">
        <f>-SUM(Primary_Loan_Amount)-SUM(H$63:H169)</f>
        <v>-23217621.943162207</v>
      </c>
      <c r="J169" s="24">
        <f t="shared" si="18"/>
        <v>0</v>
      </c>
      <c r="K169" s="51">
        <f>IF(L169=1,0,IF(SUM(K$64:K168)&gt;=Construction_Timeline,0,1))</f>
        <v>0</v>
      </c>
      <c r="L169" s="13">
        <f t="shared" si="21"/>
        <v>0</v>
      </c>
      <c r="M169" s="54">
        <f t="shared" si="16"/>
        <v>49249</v>
      </c>
      <c r="N169" s="7"/>
      <c r="O169" s="12"/>
      <c r="P169" s="98"/>
      <c r="Q169" s="98"/>
      <c r="R169" s="98"/>
      <c r="S169" s="98"/>
      <c r="T169" s="3"/>
      <c r="U169" s="98"/>
      <c r="V169" s="98"/>
      <c r="W169" s="98"/>
      <c r="X169" s="98"/>
    </row>
    <row r="170" spans="2:24">
      <c r="B170" s="6"/>
      <c r="C170" s="7">
        <v>107</v>
      </c>
      <c r="D170" s="24">
        <f t="shared" si="19"/>
        <v>0</v>
      </c>
      <c r="E170" s="103">
        <f t="shared" si="20"/>
        <v>0</v>
      </c>
      <c r="F170" s="53"/>
      <c r="G170" s="24">
        <f t="shared" si="17"/>
        <v>0</v>
      </c>
      <c r="H170" s="15">
        <f>IF(G170&gt;0,0,IF(AND(H169=0,SUM(K170:L170)=0),0,IF(D170=0,PPMT(D$53/12,COUNTIF(D$63:D170,0),D$54,Primary_Loan_Amount),0)))</f>
        <v>0</v>
      </c>
      <c r="I170" s="103">
        <f>-SUM(Primary_Loan_Amount)-SUM(H$63:H170)</f>
        <v>-23217621.943162207</v>
      </c>
      <c r="J170" s="24">
        <f t="shared" si="18"/>
        <v>0</v>
      </c>
      <c r="K170" s="51">
        <f>IF(L170=1,0,IF(SUM(K$64:K169)&gt;=Construction_Timeline,0,1))</f>
        <v>0</v>
      </c>
      <c r="L170" s="13">
        <f t="shared" si="21"/>
        <v>0</v>
      </c>
      <c r="M170" s="54">
        <f t="shared" si="16"/>
        <v>49279</v>
      </c>
      <c r="N170" s="7"/>
      <c r="O170" s="12"/>
      <c r="P170" s="98"/>
      <c r="Q170" s="98"/>
      <c r="R170" s="98"/>
      <c r="S170" s="98"/>
      <c r="T170" s="3"/>
      <c r="U170" s="98"/>
      <c r="V170" s="98"/>
      <c r="W170" s="98"/>
      <c r="X170" s="98"/>
    </row>
    <row r="171" spans="2:24">
      <c r="B171" s="6"/>
      <c r="C171" s="7">
        <v>108</v>
      </c>
      <c r="D171" s="24">
        <f t="shared" si="19"/>
        <v>0</v>
      </c>
      <c r="E171" s="103">
        <f t="shared" si="20"/>
        <v>0</v>
      </c>
      <c r="F171" s="53"/>
      <c r="G171" s="24">
        <f t="shared" si="17"/>
        <v>0</v>
      </c>
      <c r="H171" s="15">
        <f>IF(G171&gt;0,0,IF(AND(H170=0,SUM(K171:L171)=0),0,IF(D171=0,PPMT(D$53/12,COUNTIF(D$63:D171,0),D$54,Primary_Loan_Amount),0)))</f>
        <v>0</v>
      </c>
      <c r="I171" s="103">
        <f>-SUM(Primary_Loan_Amount)-SUM(H$63:H171)</f>
        <v>-23217621.943162207</v>
      </c>
      <c r="J171" s="24">
        <f t="shared" si="18"/>
        <v>0</v>
      </c>
      <c r="K171" s="51">
        <f>IF(L171=1,0,IF(SUM(K$64:K170)&gt;=Construction_Timeline,0,1))</f>
        <v>0</v>
      </c>
      <c r="L171" s="13">
        <f t="shared" si="21"/>
        <v>0</v>
      </c>
      <c r="M171" s="54">
        <f t="shared" si="16"/>
        <v>49310</v>
      </c>
      <c r="N171" s="7"/>
      <c r="O171" s="12"/>
      <c r="P171" s="98"/>
      <c r="Q171" s="98"/>
      <c r="R171" s="98"/>
      <c r="S171" s="98"/>
      <c r="T171" s="3"/>
      <c r="U171" s="98"/>
      <c r="V171" s="98"/>
      <c r="W171" s="98"/>
      <c r="X171" s="98"/>
    </row>
    <row r="172" spans="2:24">
      <c r="B172" s="6"/>
      <c r="C172" s="7">
        <v>109</v>
      </c>
      <c r="D172" s="24">
        <f t="shared" si="19"/>
        <v>0</v>
      </c>
      <c r="E172" s="103">
        <f t="shared" si="20"/>
        <v>0</v>
      </c>
      <c r="F172" s="53"/>
      <c r="G172" s="24">
        <f t="shared" si="17"/>
        <v>0</v>
      </c>
      <c r="H172" s="15">
        <f>IF(G172&gt;0,0,IF(AND(H171=0,SUM(K172:L172)=0),0,IF(D172=0,PPMT(D$53/12,COUNTIF(D$63:D172,0),D$54,Primary_Loan_Amount),0)))</f>
        <v>0</v>
      </c>
      <c r="I172" s="103">
        <f>-SUM(Primary_Loan_Amount)-SUM(H$63:H172)</f>
        <v>-23217621.943162207</v>
      </c>
      <c r="J172" s="24">
        <f t="shared" si="18"/>
        <v>0</v>
      </c>
      <c r="K172" s="51">
        <f>IF(L172=1,0,IF(SUM(K$64:K171)&gt;=Construction_Timeline,0,1))</f>
        <v>0</v>
      </c>
      <c r="L172" s="13">
        <f t="shared" si="21"/>
        <v>0</v>
      </c>
      <c r="M172" s="54">
        <f t="shared" si="16"/>
        <v>49341</v>
      </c>
      <c r="N172" s="7"/>
      <c r="O172" s="12"/>
      <c r="P172" s="98"/>
      <c r="Q172" s="98"/>
      <c r="R172" s="98"/>
      <c r="S172" s="98"/>
      <c r="T172" s="3"/>
      <c r="U172" s="98"/>
      <c r="V172" s="98"/>
      <c r="W172" s="98"/>
      <c r="X172" s="98"/>
    </row>
    <row r="173" spans="2:24">
      <c r="B173" s="6"/>
      <c r="C173" s="7">
        <v>110</v>
      </c>
      <c r="D173" s="24">
        <f t="shared" si="19"/>
        <v>0</v>
      </c>
      <c r="E173" s="103">
        <f t="shared" si="20"/>
        <v>0</v>
      </c>
      <c r="F173" s="53"/>
      <c r="G173" s="24">
        <f t="shared" si="17"/>
        <v>0</v>
      </c>
      <c r="H173" s="15">
        <f>IF(G173&gt;0,0,IF(AND(H172=0,SUM(K173:L173)=0),0,IF(D173=0,PPMT(D$53/12,COUNTIF(D$63:D173,0),D$54,Primary_Loan_Amount),0)))</f>
        <v>0</v>
      </c>
      <c r="I173" s="103">
        <f>-SUM(Primary_Loan_Amount)-SUM(H$63:H173)</f>
        <v>-23217621.943162207</v>
      </c>
      <c r="J173" s="24">
        <f t="shared" si="18"/>
        <v>0</v>
      </c>
      <c r="K173" s="51">
        <f>IF(L173=1,0,IF(SUM(K$64:K172)&gt;=Construction_Timeline,0,1))</f>
        <v>0</v>
      </c>
      <c r="L173" s="13">
        <f t="shared" si="21"/>
        <v>0</v>
      </c>
      <c r="M173" s="54">
        <f t="shared" si="16"/>
        <v>49369</v>
      </c>
      <c r="N173" s="7"/>
      <c r="O173" s="12"/>
      <c r="P173" s="98"/>
      <c r="Q173" s="98"/>
      <c r="R173" s="98"/>
      <c r="S173" s="98"/>
      <c r="T173" s="3"/>
      <c r="U173" s="98"/>
      <c r="V173" s="98"/>
      <c r="W173" s="98"/>
      <c r="X173" s="98"/>
    </row>
    <row r="174" spans="2:24">
      <c r="B174" s="6"/>
      <c r="C174" s="7">
        <v>111</v>
      </c>
      <c r="D174" s="24">
        <f t="shared" si="19"/>
        <v>0</v>
      </c>
      <c r="E174" s="103">
        <f t="shared" si="20"/>
        <v>0</v>
      </c>
      <c r="F174" s="53"/>
      <c r="G174" s="24">
        <f t="shared" si="17"/>
        <v>0</v>
      </c>
      <c r="H174" s="15">
        <f>IF(G174&gt;0,0,IF(AND(H173=0,SUM(K174:L174)=0),0,IF(D174=0,PPMT(D$53/12,COUNTIF(D$63:D174,0),D$54,Primary_Loan_Amount),0)))</f>
        <v>0</v>
      </c>
      <c r="I174" s="103">
        <f>-SUM(Primary_Loan_Amount)-SUM(H$63:H174)</f>
        <v>-23217621.943162207</v>
      </c>
      <c r="J174" s="24">
        <f t="shared" si="18"/>
        <v>0</v>
      </c>
      <c r="K174" s="51">
        <f>IF(L174=1,0,IF(SUM(K$64:K173)&gt;=Construction_Timeline,0,1))</f>
        <v>0</v>
      </c>
      <c r="L174" s="13">
        <f t="shared" si="21"/>
        <v>0</v>
      </c>
      <c r="M174" s="54">
        <f t="shared" si="16"/>
        <v>49400</v>
      </c>
      <c r="N174" s="7"/>
      <c r="O174" s="12"/>
      <c r="P174" s="98"/>
      <c r="Q174" s="98"/>
      <c r="R174" s="98"/>
      <c r="S174" s="98"/>
      <c r="T174" s="3"/>
      <c r="U174" s="98"/>
      <c r="V174" s="98"/>
      <c r="W174" s="98"/>
      <c r="X174" s="98"/>
    </row>
    <row r="175" spans="2:24">
      <c r="B175" s="6"/>
      <c r="C175" s="7">
        <v>112</v>
      </c>
      <c r="D175" s="24">
        <f t="shared" si="19"/>
        <v>0</v>
      </c>
      <c r="E175" s="103">
        <f t="shared" si="20"/>
        <v>0</v>
      </c>
      <c r="F175" s="53"/>
      <c r="G175" s="24">
        <f t="shared" si="17"/>
        <v>0</v>
      </c>
      <c r="H175" s="15">
        <f>IF(G175&gt;0,0,IF(AND(H174=0,SUM(K175:L175)=0),0,IF(D175=0,PPMT(D$53/12,COUNTIF(D$63:D175,0),D$54,Primary_Loan_Amount),0)))</f>
        <v>0</v>
      </c>
      <c r="I175" s="103">
        <f>-SUM(Primary_Loan_Amount)-SUM(H$63:H175)</f>
        <v>-23217621.943162207</v>
      </c>
      <c r="J175" s="24">
        <f t="shared" si="18"/>
        <v>0</v>
      </c>
      <c r="K175" s="51">
        <f>IF(L175=1,0,IF(SUM(K$64:K174)&gt;=Construction_Timeline,0,1))</f>
        <v>0</v>
      </c>
      <c r="L175" s="13">
        <f t="shared" si="21"/>
        <v>0</v>
      </c>
      <c r="M175" s="54">
        <f t="shared" si="16"/>
        <v>49430</v>
      </c>
      <c r="N175" s="7"/>
      <c r="O175" s="12"/>
      <c r="P175" s="98"/>
      <c r="Q175" s="98"/>
      <c r="R175" s="98"/>
      <c r="S175" s="98"/>
      <c r="T175" s="3"/>
      <c r="U175" s="98"/>
      <c r="V175" s="98"/>
      <c r="W175" s="98"/>
      <c r="X175" s="98"/>
    </row>
    <row r="176" spans="2:24">
      <c r="B176" s="6"/>
      <c r="C176" s="7">
        <v>113</v>
      </c>
      <c r="D176" s="24">
        <f t="shared" si="19"/>
        <v>0</v>
      </c>
      <c r="E176" s="103">
        <f t="shared" si="20"/>
        <v>0</v>
      </c>
      <c r="F176" s="53"/>
      <c r="G176" s="24">
        <f t="shared" si="17"/>
        <v>0</v>
      </c>
      <c r="H176" s="15">
        <f>IF(G176&gt;0,0,IF(AND(H175=0,SUM(K176:L176)=0),0,IF(D176=0,PPMT(D$53/12,COUNTIF(D$63:D176,0),D$54,Primary_Loan_Amount),0)))</f>
        <v>0</v>
      </c>
      <c r="I176" s="103">
        <f>-SUM(Primary_Loan_Amount)-SUM(H$63:H176)</f>
        <v>-23217621.943162207</v>
      </c>
      <c r="J176" s="24">
        <f t="shared" si="18"/>
        <v>0</v>
      </c>
      <c r="K176" s="51">
        <f>IF(L176=1,0,IF(SUM(K$64:K175)&gt;=Construction_Timeline,0,1))</f>
        <v>0</v>
      </c>
      <c r="L176" s="13">
        <f t="shared" si="21"/>
        <v>0</v>
      </c>
      <c r="M176" s="54">
        <f t="shared" si="16"/>
        <v>49461</v>
      </c>
      <c r="N176" s="7"/>
      <c r="O176" s="12"/>
      <c r="P176" s="98"/>
      <c r="Q176" s="98"/>
      <c r="R176" s="98"/>
      <c r="S176" s="98"/>
      <c r="T176" s="3"/>
      <c r="U176" s="98"/>
      <c r="V176" s="98"/>
      <c r="W176" s="98"/>
      <c r="X176" s="98"/>
    </row>
    <row r="177" spans="2:24">
      <c r="B177" s="6"/>
      <c r="C177" s="7">
        <v>114</v>
      </c>
      <c r="D177" s="24">
        <f t="shared" si="19"/>
        <v>0</v>
      </c>
      <c r="E177" s="103">
        <f t="shared" si="20"/>
        <v>0</v>
      </c>
      <c r="F177" s="53"/>
      <c r="G177" s="24">
        <f t="shared" si="17"/>
        <v>0</v>
      </c>
      <c r="H177" s="15">
        <f>IF(G177&gt;0,0,IF(AND(H176=0,SUM(K177:L177)=0),0,IF(D177=0,PPMT(D$53/12,COUNTIF(D$63:D177,0),D$54,Primary_Loan_Amount),0)))</f>
        <v>0</v>
      </c>
      <c r="I177" s="103">
        <f>-SUM(Primary_Loan_Amount)-SUM(H$63:H177)</f>
        <v>-23217621.943162207</v>
      </c>
      <c r="J177" s="24">
        <f t="shared" si="18"/>
        <v>0</v>
      </c>
      <c r="K177" s="51">
        <f>IF(L177=1,0,IF(SUM(K$64:K176)&gt;=Construction_Timeline,0,1))</f>
        <v>0</v>
      </c>
      <c r="L177" s="13">
        <f t="shared" si="21"/>
        <v>0</v>
      </c>
      <c r="M177" s="54">
        <f t="shared" si="16"/>
        <v>49491</v>
      </c>
      <c r="N177" s="7"/>
      <c r="O177" s="12"/>
      <c r="P177" s="98"/>
      <c r="Q177" s="98"/>
      <c r="R177" s="98"/>
      <c r="S177" s="98"/>
      <c r="T177" s="3"/>
      <c r="U177" s="98"/>
      <c r="V177" s="98"/>
      <c r="W177" s="98"/>
      <c r="X177" s="98"/>
    </row>
    <row r="178" spans="2:24">
      <c r="B178" s="6"/>
      <c r="C178" s="7">
        <v>115</v>
      </c>
      <c r="D178" s="24">
        <f t="shared" si="19"/>
        <v>0</v>
      </c>
      <c r="E178" s="103">
        <f t="shared" si="20"/>
        <v>0</v>
      </c>
      <c r="F178" s="53"/>
      <c r="G178" s="24">
        <f t="shared" si="17"/>
        <v>0</v>
      </c>
      <c r="H178" s="15">
        <f>IF(G178&gt;0,0,IF(AND(H177=0,SUM(K178:L178)=0),0,IF(D178=0,PPMT(D$53/12,COUNTIF(D$63:D178,0),D$54,Primary_Loan_Amount),0)))</f>
        <v>0</v>
      </c>
      <c r="I178" s="103">
        <f>-SUM(Primary_Loan_Amount)-SUM(H$63:H178)</f>
        <v>-23217621.943162207</v>
      </c>
      <c r="J178" s="24">
        <f t="shared" si="18"/>
        <v>0</v>
      </c>
      <c r="K178" s="51">
        <f>IF(L178=1,0,IF(SUM(K$64:K177)&gt;=Construction_Timeline,0,1))</f>
        <v>0</v>
      </c>
      <c r="L178" s="13">
        <f t="shared" si="21"/>
        <v>0</v>
      </c>
      <c r="M178" s="54">
        <f t="shared" si="16"/>
        <v>49522</v>
      </c>
      <c r="N178" s="7"/>
      <c r="O178" s="12"/>
      <c r="P178" s="98"/>
      <c r="Q178" s="98"/>
      <c r="R178" s="98"/>
      <c r="S178" s="98"/>
      <c r="T178" s="3"/>
      <c r="U178" s="98"/>
      <c r="V178" s="98"/>
      <c r="W178" s="98"/>
      <c r="X178" s="98"/>
    </row>
    <row r="179" spans="2:24">
      <c r="B179" s="6"/>
      <c r="C179" s="7">
        <v>116</v>
      </c>
      <c r="D179" s="24">
        <f t="shared" si="19"/>
        <v>0</v>
      </c>
      <c r="E179" s="103">
        <f t="shared" si="20"/>
        <v>0</v>
      </c>
      <c r="F179" s="53"/>
      <c r="G179" s="24">
        <f t="shared" si="17"/>
        <v>0</v>
      </c>
      <c r="H179" s="15">
        <f>IF(G179&gt;0,0,IF(AND(H178=0,SUM(K179:L179)=0),0,IF(D179=0,PPMT(D$53/12,COUNTIF(D$63:D179,0),D$54,Primary_Loan_Amount),0)))</f>
        <v>0</v>
      </c>
      <c r="I179" s="103">
        <f>-SUM(Primary_Loan_Amount)-SUM(H$63:H179)</f>
        <v>-23217621.943162207</v>
      </c>
      <c r="J179" s="24">
        <f t="shared" si="18"/>
        <v>0</v>
      </c>
      <c r="K179" s="51">
        <f>IF(L179=1,0,IF(SUM(K$64:K178)&gt;=Construction_Timeline,0,1))</f>
        <v>0</v>
      </c>
      <c r="L179" s="13">
        <f t="shared" si="21"/>
        <v>0</v>
      </c>
      <c r="M179" s="54">
        <f t="shared" si="16"/>
        <v>49553</v>
      </c>
      <c r="N179" s="7"/>
      <c r="O179" s="12"/>
      <c r="P179" s="98"/>
      <c r="Q179" s="98"/>
      <c r="R179" s="98"/>
      <c r="S179" s="98"/>
      <c r="T179" s="3"/>
      <c r="U179" s="98"/>
      <c r="V179" s="98"/>
      <c r="W179" s="98"/>
      <c r="X179" s="98"/>
    </row>
    <row r="180" spans="2:24">
      <c r="B180" s="6"/>
      <c r="C180" s="7">
        <v>117</v>
      </c>
      <c r="D180" s="24">
        <f t="shared" si="19"/>
        <v>0</v>
      </c>
      <c r="E180" s="103">
        <f t="shared" si="20"/>
        <v>0</v>
      </c>
      <c r="F180" s="53"/>
      <c r="G180" s="24">
        <f t="shared" si="17"/>
        <v>0</v>
      </c>
      <c r="H180" s="15">
        <f>IF(G180&gt;0,0,IF(AND(H179=0,SUM(K180:L180)=0),0,IF(D180=0,PPMT(D$53/12,COUNTIF(D$63:D180,0),D$54,Primary_Loan_Amount),0)))</f>
        <v>0</v>
      </c>
      <c r="I180" s="103">
        <f>-SUM(Primary_Loan_Amount)-SUM(H$63:H180)</f>
        <v>-23217621.943162207</v>
      </c>
      <c r="J180" s="24">
        <f t="shared" si="18"/>
        <v>0</v>
      </c>
      <c r="K180" s="51">
        <f>IF(L180=1,0,IF(SUM(K$64:K179)&gt;=Construction_Timeline,0,1))</f>
        <v>0</v>
      </c>
      <c r="L180" s="13">
        <f t="shared" si="21"/>
        <v>0</v>
      </c>
      <c r="M180" s="54">
        <f t="shared" si="16"/>
        <v>49583</v>
      </c>
      <c r="N180" s="7"/>
      <c r="O180" s="12"/>
      <c r="P180" s="98"/>
      <c r="Q180" s="98"/>
      <c r="R180" s="98"/>
      <c r="S180" s="98"/>
      <c r="T180" s="3"/>
      <c r="U180" s="98"/>
      <c r="V180" s="98"/>
      <c r="W180" s="98"/>
      <c r="X180" s="98"/>
    </row>
    <row r="181" spans="2:24">
      <c r="B181" s="6"/>
      <c r="C181" s="7">
        <v>118</v>
      </c>
      <c r="D181" s="24">
        <f t="shared" si="19"/>
        <v>0</v>
      </c>
      <c r="E181" s="103">
        <f t="shared" si="20"/>
        <v>0</v>
      </c>
      <c r="F181" s="53"/>
      <c r="G181" s="24">
        <f t="shared" si="17"/>
        <v>0</v>
      </c>
      <c r="H181" s="15">
        <f>IF(G181&gt;0,0,IF(AND(H180=0,SUM(K181:L181)=0),0,IF(D181=0,PPMT(D$53/12,COUNTIF(D$63:D181,0),D$54,Primary_Loan_Amount),0)))</f>
        <v>0</v>
      </c>
      <c r="I181" s="103">
        <f>-SUM(Primary_Loan_Amount)-SUM(H$63:H181)</f>
        <v>-23217621.943162207</v>
      </c>
      <c r="J181" s="24">
        <f t="shared" si="18"/>
        <v>0</v>
      </c>
      <c r="K181" s="51">
        <f>IF(L181=1,0,IF(SUM(K$64:K180)&gt;=Construction_Timeline,0,1))</f>
        <v>0</v>
      </c>
      <c r="L181" s="13">
        <f t="shared" si="21"/>
        <v>0</v>
      </c>
      <c r="M181" s="54">
        <f t="shared" si="16"/>
        <v>49614</v>
      </c>
      <c r="N181" s="7"/>
      <c r="O181" s="12"/>
      <c r="P181" s="98"/>
      <c r="Q181" s="98"/>
      <c r="R181" s="98"/>
      <c r="S181" s="98"/>
      <c r="T181" s="3"/>
      <c r="U181" s="98"/>
      <c r="V181" s="98"/>
      <c r="W181" s="98"/>
      <c r="X181" s="98"/>
    </row>
    <row r="182" spans="2:24">
      <c r="B182" s="6"/>
      <c r="C182" s="7">
        <v>119</v>
      </c>
      <c r="D182" s="24">
        <f t="shared" si="19"/>
        <v>0</v>
      </c>
      <c r="E182" s="103">
        <f t="shared" si="20"/>
        <v>0</v>
      </c>
      <c r="F182" s="53"/>
      <c r="G182" s="24">
        <f t="shared" si="17"/>
        <v>0</v>
      </c>
      <c r="H182" s="15">
        <f>IF(G182&gt;0,0,IF(AND(H181=0,SUM(K182:L182)=0),0,IF(D182=0,PPMT(D$53/12,COUNTIF(D$63:D182,0),D$54,Primary_Loan_Amount),0)))</f>
        <v>0</v>
      </c>
      <c r="I182" s="103">
        <f>-SUM(Primary_Loan_Amount)-SUM(H$63:H182)</f>
        <v>-23217621.943162207</v>
      </c>
      <c r="J182" s="24">
        <f t="shared" si="18"/>
        <v>0</v>
      </c>
      <c r="K182" s="51">
        <f>IF(L182=1,0,IF(SUM(K$64:K181)&gt;=Construction_Timeline,0,1))</f>
        <v>0</v>
      </c>
      <c r="L182" s="13">
        <f t="shared" si="21"/>
        <v>0</v>
      </c>
      <c r="M182" s="54">
        <f t="shared" si="16"/>
        <v>49644</v>
      </c>
      <c r="N182" s="7"/>
      <c r="O182" s="12"/>
      <c r="P182" s="98"/>
      <c r="Q182" s="98"/>
      <c r="R182" s="98"/>
      <c r="S182" s="98"/>
      <c r="T182" s="3"/>
      <c r="U182" s="98"/>
      <c r="V182" s="98"/>
      <c r="W182" s="98"/>
      <c r="X182" s="98"/>
    </row>
    <row r="183" spans="2:24">
      <c r="B183" s="6"/>
      <c r="C183" s="7">
        <v>120</v>
      </c>
      <c r="D183" s="24">
        <f t="shared" si="19"/>
        <v>0</v>
      </c>
      <c r="E183" s="103">
        <f t="shared" si="20"/>
        <v>0</v>
      </c>
      <c r="F183" s="53"/>
      <c r="G183" s="24">
        <f t="shared" si="17"/>
        <v>0</v>
      </c>
      <c r="H183" s="15">
        <f>IF(G183&gt;0,0,IF(AND(H182=0,SUM(K183:L183)=0),0,IF(D183=0,PPMT(D$53/12,COUNTIF(D$63:D183,0),D$54,Primary_Loan_Amount),0)))</f>
        <v>0</v>
      </c>
      <c r="I183" s="103">
        <f>-SUM(Primary_Loan_Amount)-SUM(H$63:H183)</f>
        <v>-23217621.943162207</v>
      </c>
      <c r="J183" s="24">
        <f t="shared" si="18"/>
        <v>0</v>
      </c>
      <c r="K183" s="51">
        <f>IF(L183=1,0,IF(SUM(K$64:K182)&gt;=Construction_Timeline,0,1))</f>
        <v>0</v>
      </c>
      <c r="L183" s="13">
        <f t="shared" si="21"/>
        <v>0</v>
      </c>
      <c r="M183" s="54">
        <f t="shared" si="16"/>
        <v>49675</v>
      </c>
      <c r="N183" s="7"/>
      <c r="O183" s="12"/>
      <c r="P183" s="98"/>
      <c r="Q183" s="98"/>
      <c r="R183" s="98"/>
      <c r="S183" s="98"/>
      <c r="T183" s="3"/>
      <c r="U183" s="98"/>
      <c r="V183" s="98"/>
      <c r="W183" s="98"/>
      <c r="X183" s="98"/>
    </row>
    <row r="184" spans="2:24">
      <c r="B184" s="6"/>
      <c r="C184" s="7">
        <v>121</v>
      </c>
      <c r="D184" s="24">
        <f t="shared" si="19"/>
        <v>0</v>
      </c>
      <c r="E184" s="103">
        <f t="shared" si="20"/>
        <v>0</v>
      </c>
      <c r="F184" s="53"/>
      <c r="G184" s="24">
        <f t="shared" si="17"/>
        <v>0</v>
      </c>
      <c r="H184" s="15">
        <f>IF(G184&gt;0,0,IF(AND(H183=0,SUM(K184:L184)=0),0,IF(D184=0,PPMT(D$53/12,COUNTIF(D$63:D184,0),D$54,Primary_Loan_Amount),0)))</f>
        <v>0</v>
      </c>
      <c r="I184" s="103">
        <f>-SUM(Primary_Loan_Amount)-SUM(H$63:H184)</f>
        <v>-23217621.943162207</v>
      </c>
      <c r="J184" s="24">
        <f t="shared" si="18"/>
        <v>0</v>
      </c>
      <c r="K184" s="51">
        <f>IF(L184=1,0,IF(SUM(K$64:K183)&gt;=Construction_Timeline,0,1))</f>
        <v>0</v>
      </c>
      <c r="L184" s="13">
        <f t="shared" si="21"/>
        <v>0</v>
      </c>
      <c r="M184" s="54">
        <f t="shared" si="16"/>
        <v>49706</v>
      </c>
      <c r="N184" s="7"/>
      <c r="O184" s="12"/>
      <c r="P184" s="98"/>
      <c r="Q184" s="98"/>
      <c r="R184" s="98"/>
      <c r="S184" s="98"/>
      <c r="T184" s="3"/>
      <c r="U184" s="98"/>
      <c r="V184" s="98"/>
      <c r="W184" s="98"/>
      <c r="X184" s="98"/>
    </row>
    <row r="185" spans="2:24">
      <c r="B185" s="6"/>
      <c r="C185" s="7">
        <v>122</v>
      </c>
      <c r="D185" s="24">
        <f t="shared" si="19"/>
        <v>0</v>
      </c>
      <c r="E185" s="103">
        <f t="shared" si="20"/>
        <v>0</v>
      </c>
      <c r="F185" s="53"/>
      <c r="G185" s="24">
        <f t="shared" si="17"/>
        <v>0</v>
      </c>
      <c r="H185" s="15">
        <f>IF(G185&gt;0,0,IF(AND(H184=0,SUM(K185:L185)=0),0,IF(D185=0,PPMT(D$53/12,COUNTIF(D$63:D185,0),D$54,Primary_Loan_Amount),0)))</f>
        <v>0</v>
      </c>
      <c r="I185" s="103">
        <f>-SUM(Primary_Loan_Amount)-SUM(H$63:H185)</f>
        <v>-23217621.943162207</v>
      </c>
      <c r="J185" s="24">
        <f t="shared" si="18"/>
        <v>0</v>
      </c>
      <c r="K185" s="51">
        <f>IF(L185=1,0,IF(SUM(K$64:K184)&gt;=Construction_Timeline,0,1))</f>
        <v>0</v>
      </c>
      <c r="L185" s="13">
        <f t="shared" si="21"/>
        <v>0</v>
      </c>
      <c r="M185" s="54">
        <f t="shared" si="16"/>
        <v>49735</v>
      </c>
      <c r="N185" s="7"/>
      <c r="O185" s="12"/>
      <c r="P185" s="98"/>
      <c r="Q185" s="98"/>
      <c r="R185" s="98"/>
      <c r="S185" s="98"/>
      <c r="T185" s="3"/>
      <c r="U185" s="98"/>
      <c r="V185" s="98"/>
      <c r="W185" s="98"/>
      <c r="X185" s="98"/>
    </row>
    <row r="186" spans="2:24">
      <c r="B186" s="6"/>
      <c r="C186" s="7">
        <v>123</v>
      </c>
      <c r="D186" s="24">
        <f t="shared" si="19"/>
        <v>0</v>
      </c>
      <c r="E186" s="103">
        <f t="shared" si="20"/>
        <v>0</v>
      </c>
      <c r="F186" s="53"/>
      <c r="G186" s="24">
        <f t="shared" si="17"/>
        <v>0</v>
      </c>
      <c r="H186" s="15">
        <f>IF(G186&gt;0,0,IF(AND(H185=0,SUM(K186:L186)=0),0,IF(D186=0,PPMT(D$53/12,COUNTIF(D$63:D186,0),D$54,Primary_Loan_Amount),0)))</f>
        <v>0</v>
      </c>
      <c r="I186" s="103">
        <f>-SUM(Primary_Loan_Amount)-SUM(H$63:H186)</f>
        <v>-23217621.943162207</v>
      </c>
      <c r="J186" s="24">
        <f t="shared" si="18"/>
        <v>0</v>
      </c>
      <c r="K186" s="51">
        <f>IF(L186=1,0,IF(SUM(K$64:K185)&gt;=Construction_Timeline,0,1))</f>
        <v>0</v>
      </c>
      <c r="L186" s="13">
        <f t="shared" si="21"/>
        <v>0</v>
      </c>
      <c r="M186" s="54">
        <f t="shared" si="16"/>
        <v>49766</v>
      </c>
      <c r="N186" s="7"/>
      <c r="O186" s="12"/>
      <c r="P186" s="98"/>
      <c r="Q186" s="98"/>
      <c r="R186" s="98"/>
      <c r="S186" s="98"/>
      <c r="T186" s="3"/>
      <c r="U186" s="98"/>
      <c r="V186" s="98"/>
      <c r="W186" s="98"/>
      <c r="X186" s="98"/>
    </row>
    <row r="187" spans="2:24">
      <c r="B187" s="6"/>
      <c r="C187" s="7">
        <v>124</v>
      </c>
      <c r="D187" s="24">
        <f t="shared" si="19"/>
        <v>0</v>
      </c>
      <c r="E187" s="103">
        <f t="shared" si="20"/>
        <v>0</v>
      </c>
      <c r="F187" s="53"/>
      <c r="G187" s="24">
        <f t="shared" si="17"/>
        <v>0</v>
      </c>
      <c r="H187" s="15">
        <f>IF(G187&gt;0,0,IF(AND(H186=0,SUM(K187:L187)=0),0,IF(D187=0,PPMT(D$53/12,COUNTIF(D$63:D187,0),D$54,Primary_Loan_Amount),0)))</f>
        <v>0</v>
      </c>
      <c r="I187" s="103">
        <f>-SUM(Primary_Loan_Amount)-SUM(H$63:H187)</f>
        <v>-23217621.943162207</v>
      </c>
      <c r="J187" s="24">
        <f t="shared" si="18"/>
        <v>0</v>
      </c>
      <c r="K187" s="51">
        <f>IF(L187=1,0,IF(SUM(K$64:K186)&gt;=Construction_Timeline,0,1))</f>
        <v>0</v>
      </c>
      <c r="L187" s="13">
        <f t="shared" si="21"/>
        <v>0</v>
      </c>
      <c r="M187" s="54">
        <f t="shared" si="16"/>
        <v>49796</v>
      </c>
      <c r="N187" s="7"/>
      <c r="O187" s="12"/>
      <c r="P187" s="98"/>
      <c r="Q187" s="98"/>
      <c r="R187" s="98"/>
      <c r="S187" s="98"/>
      <c r="T187" s="3"/>
      <c r="U187" s="98"/>
      <c r="V187" s="98"/>
      <c r="W187" s="98"/>
      <c r="X187" s="98"/>
    </row>
    <row r="188" spans="2:24">
      <c r="B188" s="6"/>
      <c r="C188" s="7">
        <v>125</v>
      </c>
      <c r="D188" s="24">
        <f t="shared" si="19"/>
        <v>0</v>
      </c>
      <c r="E188" s="103">
        <f t="shared" si="20"/>
        <v>0</v>
      </c>
      <c r="F188" s="53"/>
      <c r="G188" s="24">
        <f t="shared" si="17"/>
        <v>0</v>
      </c>
      <c r="H188" s="15">
        <f>IF(G188&gt;0,0,IF(AND(H187=0,SUM(K188:L188)=0),0,IF(D188=0,PPMT(D$53/12,COUNTIF(D$63:D188,0),D$54,Primary_Loan_Amount),0)))</f>
        <v>0</v>
      </c>
      <c r="I188" s="103">
        <f>-SUM(Primary_Loan_Amount)-SUM(H$63:H188)</f>
        <v>-23217621.943162207</v>
      </c>
      <c r="J188" s="24">
        <f t="shared" si="18"/>
        <v>0</v>
      </c>
      <c r="K188" s="51">
        <f>IF(L188=1,0,IF(SUM(K$64:K187)&gt;=Construction_Timeline,0,1))</f>
        <v>0</v>
      </c>
      <c r="L188" s="13">
        <f t="shared" si="21"/>
        <v>0</v>
      </c>
      <c r="M188" s="54">
        <f t="shared" si="16"/>
        <v>49827</v>
      </c>
      <c r="N188" s="7"/>
      <c r="O188" s="12"/>
      <c r="P188" s="98"/>
      <c r="Q188" s="98"/>
      <c r="R188" s="98"/>
      <c r="S188" s="98"/>
      <c r="T188" s="3"/>
      <c r="U188" s="98"/>
      <c r="V188" s="98"/>
      <c r="W188" s="98"/>
      <c r="X188" s="98"/>
    </row>
    <row r="189" spans="2:24">
      <c r="B189" s="6"/>
      <c r="C189" s="7">
        <v>126</v>
      </c>
      <c r="D189" s="24">
        <f t="shared" si="19"/>
        <v>0</v>
      </c>
      <c r="E189" s="103">
        <f t="shared" si="20"/>
        <v>0</v>
      </c>
      <c r="F189" s="53"/>
      <c r="G189" s="24">
        <f t="shared" si="17"/>
        <v>0</v>
      </c>
      <c r="H189" s="15">
        <f>IF(G189&gt;0,0,IF(AND(H188=0,SUM(K189:L189)=0),0,IF(D189=0,PPMT(D$53/12,COUNTIF(D$63:D189,0),D$54,Primary_Loan_Amount),0)))</f>
        <v>0</v>
      </c>
      <c r="I189" s="103">
        <f>-SUM(Primary_Loan_Amount)-SUM(H$63:H189)</f>
        <v>-23217621.943162207</v>
      </c>
      <c r="J189" s="24">
        <f t="shared" si="18"/>
        <v>0</v>
      </c>
      <c r="K189" s="51">
        <f>IF(L189=1,0,IF(SUM(K$64:K188)&gt;=Construction_Timeline,0,1))</f>
        <v>0</v>
      </c>
      <c r="L189" s="13">
        <f t="shared" si="21"/>
        <v>0</v>
      </c>
      <c r="M189" s="54">
        <f t="shared" si="16"/>
        <v>49857</v>
      </c>
      <c r="N189" s="7"/>
      <c r="O189" s="12"/>
      <c r="P189" s="98"/>
      <c r="Q189" s="98"/>
      <c r="R189" s="98"/>
      <c r="S189" s="98"/>
      <c r="T189" s="3"/>
      <c r="U189" s="98"/>
      <c r="V189" s="98"/>
      <c r="W189" s="98"/>
      <c r="X189" s="98"/>
    </row>
    <row r="190" spans="2:24">
      <c r="B190" s="6"/>
      <c r="C190" s="7">
        <v>127</v>
      </c>
      <c r="D190" s="24">
        <f t="shared" si="19"/>
        <v>0</v>
      </c>
      <c r="E190" s="103">
        <f t="shared" si="20"/>
        <v>0</v>
      </c>
      <c r="F190" s="53"/>
      <c r="G190" s="24">
        <f t="shared" si="17"/>
        <v>0</v>
      </c>
      <c r="H190" s="15">
        <f>IF(G190&gt;0,0,IF(AND(H189=0,SUM(K190:L190)=0),0,IF(D190=0,PPMT(D$53/12,COUNTIF(D$63:D190,0),D$54,Primary_Loan_Amount),0)))</f>
        <v>0</v>
      </c>
      <c r="I190" s="103">
        <f>-SUM(Primary_Loan_Amount)-SUM(H$63:H190)</f>
        <v>-23217621.943162207</v>
      </c>
      <c r="J190" s="24">
        <f t="shared" si="18"/>
        <v>0</v>
      </c>
      <c r="K190" s="51">
        <f>IF(L190=1,0,IF(SUM(K$64:K189)&gt;=Construction_Timeline,0,1))</f>
        <v>0</v>
      </c>
      <c r="L190" s="13">
        <f t="shared" si="21"/>
        <v>0</v>
      </c>
      <c r="M190" s="54">
        <f t="shared" si="16"/>
        <v>49888</v>
      </c>
      <c r="N190" s="7"/>
      <c r="O190" s="12"/>
      <c r="P190" s="98"/>
      <c r="Q190" s="98"/>
      <c r="R190" s="98"/>
      <c r="S190" s="98"/>
      <c r="T190" s="3"/>
      <c r="U190" s="98"/>
      <c r="V190" s="98"/>
      <c r="W190" s="98"/>
      <c r="X190" s="98"/>
    </row>
    <row r="191" spans="2:24">
      <c r="B191" s="6"/>
      <c r="C191" s="7">
        <v>128</v>
      </c>
      <c r="D191" s="24">
        <f t="shared" si="19"/>
        <v>0</v>
      </c>
      <c r="E191" s="103">
        <f t="shared" si="20"/>
        <v>0</v>
      </c>
      <c r="F191" s="53"/>
      <c r="G191" s="24">
        <f t="shared" ref="G191:G222" si="22">IF(C191=SUM(Month_of_Sale,PreDev_Timeline,Construction_Timeline),Sale_Price*(1-D$44),0)</f>
        <v>0</v>
      </c>
      <c r="H191" s="15">
        <f>IF(G191&gt;0,0,IF(AND(H190=0,SUM(K191:L191)=0),0,IF(D191=0,PPMT(D$53/12,COUNTIF(D$63:D191,0),D$54,Primary_Loan_Amount),0)))</f>
        <v>0</v>
      </c>
      <c r="I191" s="103">
        <f>-SUM(Primary_Loan_Amount)-SUM(H$63:H191)</f>
        <v>-23217621.943162207</v>
      </c>
      <c r="J191" s="24">
        <f t="shared" ref="J191:J222" si="23">SUM(D191,F191,G191)+IF(G191&gt;0,I191)</f>
        <v>0</v>
      </c>
      <c r="K191" s="51">
        <f>IF(L191=1,0,IF(SUM(K$64:K190)&gt;=Construction_Timeline,0,1))</f>
        <v>0</v>
      </c>
      <c r="L191" s="13">
        <f t="shared" si="21"/>
        <v>0</v>
      </c>
      <c r="M191" s="54">
        <f t="shared" si="16"/>
        <v>49919</v>
      </c>
      <c r="N191" s="7"/>
      <c r="O191" s="12"/>
      <c r="P191" s="98"/>
      <c r="Q191" s="98"/>
      <c r="R191" s="98"/>
      <c r="S191" s="98"/>
      <c r="T191" s="3"/>
      <c r="U191" s="98"/>
      <c r="V191" s="98"/>
      <c r="W191" s="98"/>
      <c r="X191" s="98"/>
    </row>
    <row r="192" spans="2:24">
      <c r="B192" s="6"/>
      <c r="C192" s="7">
        <v>129</v>
      </c>
      <c r="D192" s="24">
        <f t="shared" ref="D192:D223" si="24">IF(AND(C191&gt;0,E191&gt;=D191),E191,IF(L192=1,-Pre_Development_Costs/PreDev_Timeline,IF(K192=1,MAX(E191,-D$43/Construction_Timeline),0)))</f>
        <v>0</v>
      </c>
      <c r="E192" s="103">
        <f t="shared" ref="E192:E223" si="25">E191-D192</f>
        <v>0</v>
      </c>
      <c r="F192" s="53"/>
      <c r="G192" s="24">
        <f t="shared" si="22"/>
        <v>0</v>
      </c>
      <c r="H192" s="15">
        <f>IF(G192&gt;0,0,IF(AND(H191=0,SUM(K192:L192)=0),0,IF(D192=0,PPMT(D$53/12,COUNTIF(D$63:D192,0),D$54,Primary_Loan_Amount),0)))</f>
        <v>0</v>
      </c>
      <c r="I192" s="103">
        <f>-SUM(Primary_Loan_Amount)-SUM(H$63:H192)</f>
        <v>-23217621.943162207</v>
      </c>
      <c r="J192" s="24">
        <f t="shared" si="23"/>
        <v>0</v>
      </c>
      <c r="K192" s="51">
        <f>IF(L192=1,0,IF(SUM(K$64:K191)&gt;=Construction_Timeline,0,1))</f>
        <v>0</v>
      </c>
      <c r="L192" s="13">
        <f t="shared" ref="L192:L223" si="26">IF(C192&lt;=PreDev_Timeline,1,0)</f>
        <v>0</v>
      </c>
      <c r="M192" s="54">
        <f t="shared" si="16"/>
        <v>49949</v>
      </c>
      <c r="N192" s="7"/>
      <c r="O192" s="12"/>
      <c r="P192" s="98"/>
      <c r="Q192" s="98"/>
      <c r="R192" s="98"/>
      <c r="S192" s="98"/>
      <c r="T192" s="3"/>
      <c r="U192" s="98"/>
      <c r="V192" s="98"/>
      <c r="W192" s="98"/>
      <c r="X192" s="98"/>
    </row>
    <row r="193" spans="2:24">
      <c r="B193" s="6"/>
      <c r="C193" s="7">
        <v>130</v>
      </c>
      <c r="D193" s="24">
        <f t="shared" si="24"/>
        <v>0</v>
      </c>
      <c r="E193" s="103">
        <f t="shared" si="25"/>
        <v>0</v>
      </c>
      <c r="F193" s="53"/>
      <c r="G193" s="24">
        <f t="shared" si="22"/>
        <v>0</v>
      </c>
      <c r="H193" s="15">
        <f>IF(G193&gt;0,0,IF(AND(H192=0,SUM(K193:L193)=0),0,IF(D193=0,PPMT(D$53/12,COUNTIF(D$63:D193,0),D$54,Primary_Loan_Amount),0)))</f>
        <v>0</v>
      </c>
      <c r="I193" s="103">
        <f>-SUM(Primary_Loan_Amount)-SUM(H$63:H193)</f>
        <v>-23217621.943162207</v>
      </c>
      <c r="J193" s="24">
        <f t="shared" si="23"/>
        <v>0</v>
      </c>
      <c r="K193" s="51">
        <f>IF(L193=1,0,IF(SUM(K$64:K192)&gt;=Construction_Timeline,0,1))</f>
        <v>0</v>
      </c>
      <c r="L193" s="13">
        <f t="shared" si="26"/>
        <v>0</v>
      </c>
      <c r="M193" s="54">
        <f t="shared" ref="M193:M243" si="27">EDATE(M192,1)</f>
        <v>49980</v>
      </c>
      <c r="N193" s="7"/>
      <c r="O193" s="12"/>
      <c r="P193" s="98"/>
      <c r="Q193" s="98"/>
      <c r="R193" s="98"/>
      <c r="S193" s="98"/>
      <c r="T193" s="3"/>
      <c r="U193" s="98"/>
      <c r="V193" s="98"/>
      <c r="W193" s="98"/>
      <c r="X193" s="98"/>
    </row>
    <row r="194" spans="2:24">
      <c r="B194" s="6"/>
      <c r="C194" s="7">
        <v>131</v>
      </c>
      <c r="D194" s="24">
        <f t="shared" si="24"/>
        <v>0</v>
      </c>
      <c r="E194" s="103">
        <f t="shared" si="25"/>
        <v>0</v>
      </c>
      <c r="F194" s="53"/>
      <c r="G194" s="24">
        <f t="shared" si="22"/>
        <v>0</v>
      </c>
      <c r="H194" s="15">
        <f>IF(G194&gt;0,0,IF(AND(H193=0,SUM(K194:L194)=0),0,IF(D194=0,PPMT(D$53/12,COUNTIF(D$63:D194,0),D$54,Primary_Loan_Amount),0)))</f>
        <v>0</v>
      </c>
      <c r="I194" s="103">
        <f>-SUM(Primary_Loan_Amount)-SUM(H$63:H194)</f>
        <v>-23217621.943162207</v>
      </c>
      <c r="J194" s="24">
        <f t="shared" si="23"/>
        <v>0</v>
      </c>
      <c r="K194" s="51">
        <f>IF(L194=1,0,IF(SUM(K$64:K193)&gt;=Construction_Timeline,0,1))</f>
        <v>0</v>
      </c>
      <c r="L194" s="13">
        <f t="shared" si="26"/>
        <v>0</v>
      </c>
      <c r="M194" s="54">
        <f t="shared" si="27"/>
        <v>50010</v>
      </c>
      <c r="N194" s="7"/>
      <c r="O194" s="12"/>
      <c r="P194" s="98"/>
      <c r="Q194" s="98"/>
      <c r="R194" s="98"/>
      <c r="S194" s="98"/>
      <c r="T194" s="3"/>
      <c r="U194" s="98"/>
      <c r="V194" s="98"/>
      <c r="W194" s="98"/>
      <c r="X194" s="98"/>
    </row>
    <row r="195" spans="2:24">
      <c r="B195" s="6"/>
      <c r="C195" s="7">
        <v>132</v>
      </c>
      <c r="D195" s="24">
        <f t="shared" si="24"/>
        <v>0</v>
      </c>
      <c r="E195" s="103">
        <f t="shared" si="25"/>
        <v>0</v>
      </c>
      <c r="F195" s="53"/>
      <c r="G195" s="24">
        <f t="shared" si="22"/>
        <v>0</v>
      </c>
      <c r="H195" s="15">
        <f>IF(G195&gt;0,0,IF(AND(H194=0,SUM(K195:L195)=0),0,IF(D195=0,PPMT(D$53/12,COUNTIF(D$63:D195,0),D$54,Primary_Loan_Amount),0)))</f>
        <v>0</v>
      </c>
      <c r="I195" s="103">
        <f>-SUM(Primary_Loan_Amount)-SUM(H$63:H195)</f>
        <v>-23217621.943162207</v>
      </c>
      <c r="J195" s="24">
        <f t="shared" si="23"/>
        <v>0</v>
      </c>
      <c r="K195" s="51">
        <f>IF(L195=1,0,IF(SUM(K$64:K194)&gt;=Construction_Timeline,0,1))</f>
        <v>0</v>
      </c>
      <c r="L195" s="13">
        <f t="shared" si="26"/>
        <v>0</v>
      </c>
      <c r="M195" s="54">
        <f t="shared" si="27"/>
        <v>50041</v>
      </c>
      <c r="N195" s="7"/>
      <c r="O195" s="12"/>
      <c r="P195" s="98"/>
      <c r="Q195" s="98"/>
      <c r="R195" s="98"/>
      <c r="S195" s="98"/>
      <c r="T195" s="3"/>
      <c r="U195" s="98"/>
      <c r="V195" s="98"/>
      <c r="W195" s="98"/>
      <c r="X195" s="98"/>
    </row>
    <row r="196" spans="2:24">
      <c r="B196" s="6"/>
      <c r="C196" s="7">
        <v>133</v>
      </c>
      <c r="D196" s="24">
        <f t="shared" si="24"/>
        <v>0</v>
      </c>
      <c r="E196" s="103">
        <f t="shared" si="25"/>
        <v>0</v>
      </c>
      <c r="F196" s="53"/>
      <c r="G196" s="24">
        <f t="shared" si="22"/>
        <v>0</v>
      </c>
      <c r="H196" s="15">
        <f>IF(G196&gt;0,0,IF(AND(H195=0,SUM(K196:L196)=0),0,IF(D196=0,PPMT(D$53/12,COUNTIF(D$63:D196,0),D$54,Primary_Loan_Amount),0)))</f>
        <v>0</v>
      </c>
      <c r="I196" s="103">
        <f>-SUM(Primary_Loan_Amount)-SUM(H$63:H196)</f>
        <v>-23217621.943162207</v>
      </c>
      <c r="J196" s="24">
        <f t="shared" si="23"/>
        <v>0</v>
      </c>
      <c r="K196" s="51">
        <f>IF(L196=1,0,IF(SUM(K$64:K195)&gt;=Construction_Timeline,0,1))</f>
        <v>0</v>
      </c>
      <c r="L196" s="13">
        <f t="shared" si="26"/>
        <v>0</v>
      </c>
      <c r="M196" s="54">
        <f t="shared" si="27"/>
        <v>50072</v>
      </c>
      <c r="N196" s="7"/>
      <c r="O196" s="12"/>
      <c r="P196" s="98"/>
      <c r="Q196" s="98"/>
      <c r="R196" s="98"/>
      <c r="S196" s="98"/>
      <c r="T196" s="3"/>
      <c r="U196" s="98"/>
      <c r="V196" s="98"/>
      <c r="W196" s="98"/>
      <c r="X196" s="98"/>
    </row>
    <row r="197" spans="2:24">
      <c r="B197" s="6"/>
      <c r="C197" s="7">
        <v>134</v>
      </c>
      <c r="D197" s="24">
        <f t="shared" si="24"/>
        <v>0</v>
      </c>
      <c r="E197" s="103">
        <f t="shared" si="25"/>
        <v>0</v>
      </c>
      <c r="F197" s="53"/>
      <c r="G197" s="24">
        <f t="shared" si="22"/>
        <v>0</v>
      </c>
      <c r="H197" s="15">
        <f>IF(G197&gt;0,0,IF(AND(H196=0,SUM(K197:L197)=0),0,IF(D197=0,PPMT(D$53/12,COUNTIF(D$63:D197,0),D$54,Primary_Loan_Amount),0)))</f>
        <v>0</v>
      </c>
      <c r="I197" s="103">
        <f>-SUM(Primary_Loan_Amount)-SUM(H$63:H197)</f>
        <v>-23217621.943162207</v>
      </c>
      <c r="J197" s="24">
        <f t="shared" si="23"/>
        <v>0</v>
      </c>
      <c r="K197" s="51">
        <f>IF(L197=1,0,IF(SUM(K$64:K196)&gt;=Construction_Timeline,0,1))</f>
        <v>0</v>
      </c>
      <c r="L197" s="13">
        <f t="shared" si="26"/>
        <v>0</v>
      </c>
      <c r="M197" s="54">
        <f t="shared" si="27"/>
        <v>50100</v>
      </c>
      <c r="N197" s="7"/>
      <c r="O197" s="12"/>
      <c r="P197" s="98"/>
      <c r="Q197" s="98"/>
      <c r="R197" s="98"/>
      <c r="S197" s="98"/>
      <c r="T197" s="3"/>
      <c r="U197" s="98"/>
      <c r="V197" s="98"/>
      <c r="W197" s="98"/>
      <c r="X197" s="98"/>
    </row>
    <row r="198" spans="2:24">
      <c r="B198" s="6"/>
      <c r="C198" s="7">
        <v>135</v>
      </c>
      <c r="D198" s="24">
        <f t="shared" si="24"/>
        <v>0</v>
      </c>
      <c r="E198" s="103">
        <f t="shared" si="25"/>
        <v>0</v>
      </c>
      <c r="F198" s="53"/>
      <c r="G198" s="24">
        <f t="shared" si="22"/>
        <v>0</v>
      </c>
      <c r="H198" s="15">
        <f>IF(G198&gt;0,0,IF(AND(H197=0,SUM(K198:L198)=0),0,IF(D198=0,PPMT(D$53/12,COUNTIF(D$63:D198,0),D$54,Primary_Loan_Amount),0)))</f>
        <v>0</v>
      </c>
      <c r="I198" s="103">
        <f>-SUM(Primary_Loan_Amount)-SUM(H$63:H198)</f>
        <v>-23217621.943162207</v>
      </c>
      <c r="J198" s="24">
        <f t="shared" si="23"/>
        <v>0</v>
      </c>
      <c r="K198" s="51">
        <f>IF(L198=1,0,IF(SUM(K$64:K197)&gt;=Construction_Timeline,0,1))</f>
        <v>0</v>
      </c>
      <c r="L198" s="13">
        <f t="shared" si="26"/>
        <v>0</v>
      </c>
      <c r="M198" s="54">
        <f t="shared" si="27"/>
        <v>50131</v>
      </c>
      <c r="N198" s="7"/>
      <c r="O198" s="12"/>
      <c r="P198" s="98"/>
      <c r="Q198" s="98"/>
      <c r="R198" s="98"/>
      <c r="S198" s="98"/>
      <c r="T198" s="3"/>
      <c r="U198" s="98"/>
      <c r="V198" s="98"/>
      <c r="W198" s="98"/>
      <c r="X198" s="98"/>
    </row>
    <row r="199" spans="2:24">
      <c r="B199" s="6"/>
      <c r="C199" s="7">
        <v>136</v>
      </c>
      <c r="D199" s="24">
        <f t="shared" si="24"/>
        <v>0</v>
      </c>
      <c r="E199" s="103">
        <f t="shared" si="25"/>
        <v>0</v>
      </c>
      <c r="F199" s="53"/>
      <c r="G199" s="24">
        <f t="shared" si="22"/>
        <v>0</v>
      </c>
      <c r="H199" s="15">
        <f>IF(G199&gt;0,0,IF(AND(H198=0,SUM(K199:L199)=0),0,IF(D199=0,PPMT(D$53/12,COUNTIF(D$63:D199,0),D$54,Primary_Loan_Amount),0)))</f>
        <v>0</v>
      </c>
      <c r="I199" s="103">
        <f>-SUM(Primary_Loan_Amount)-SUM(H$63:H199)</f>
        <v>-23217621.943162207</v>
      </c>
      <c r="J199" s="24">
        <f t="shared" si="23"/>
        <v>0</v>
      </c>
      <c r="K199" s="51">
        <f>IF(L199=1,0,IF(SUM(K$64:K198)&gt;=Construction_Timeline,0,1))</f>
        <v>0</v>
      </c>
      <c r="L199" s="13">
        <f t="shared" si="26"/>
        <v>0</v>
      </c>
      <c r="M199" s="54">
        <f t="shared" si="27"/>
        <v>50161</v>
      </c>
      <c r="N199" s="7"/>
      <c r="O199" s="12"/>
      <c r="P199" s="98"/>
      <c r="Q199" s="98"/>
      <c r="R199" s="98"/>
      <c r="S199" s="98"/>
      <c r="T199" s="3"/>
      <c r="U199" s="98"/>
      <c r="V199" s="98"/>
      <c r="W199" s="98"/>
      <c r="X199" s="98"/>
    </row>
    <row r="200" spans="2:24">
      <c r="B200" s="6"/>
      <c r="C200" s="7">
        <v>137</v>
      </c>
      <c r="D200" s="24">
        <f t="shared" si="24"/>
        <v>0</v>
      </c>
      <c r="E200" s="103">
        <f t="shared" si="25"/>
        <v>0</v>
      </c>
      <c r="F200" s="53"/>
      <c r="G200" s="24">
        <f t="shared" si="22"/>
        <v>0</v>
      </c>
      <c r="H200" s="15">
        <f>IF(G200&gt;0,0,IF(AND(H199=0,SUM(K200:L200)=0),0,IF(D200=0,PPMT(D$53/12,COUNTIF(D$63:D200,0),D$54,Primary_Loan_Amount),0)))</f>
        <v>0</v>
      </c>
      <c r="I200" s="103">
        <f>-SUM(Primary_Loan_Amount)-SUM(H$63:H200)</f>
        <v>-23217621.943162207</v>
      </c>
      <c r="J200" s="24">
        <f t="shared" si="23"/>
        <v>0</v>
      </c>
      <c r="K200" s="51">
        <f>IF(L200=1,0,IF(SUM(K$64:K199)&gt;=Construction_Timeline,0,1))</f>
        <v>0</v>
      </c>
      <c r="L200" s="13">
        <f t="shared" si="26"/>
        <v>0</v>
      </c>
      <c r="M200" s="54">
        <f t="shared" si="27"/>
        <v>50192</v>
      </c>
      <c r="N200" s="7"/>
      <c r="O200" s="12"/>
      <c r="P200" s="98"/>
      <c r="Q200" s="98"/>
      <c r="R200" s="98"/>
      <c r="S200" s="98"/>
      <c r="T200" s="3"/>
      <c r="U200" s="98"/>
      <c r="V200" s="98"/>
      <c r="W200" s="98"/>
      <c r="X200" s="98"/>
    </row>
    <row r="201" spans="2:24">
      <c r="B201" s="6"/>
      <c r="C201" s="7">
        <v>138</v>
      </c>
      <c r="D201" s="24">
        <f t="shared" si="24"/>
        <v>0</v>
      </c>
      <c r="E201" s="103">
        <f t="shared" si="25"/>
        <v>0</v>
      </c>
      <c r="F201" s="53"/>
      <c r="G201" s="24">
        <f t="shared" si="22"/>
        <v>0</v>
      </c>
      <c r="H201" s="15">
        <f>IF(G201&gt;0,0,IF(AND(H200=0,SUM(K201:L201)=0),0,IF(D201=0,PPMT(D$53/12,COUNTIF(D$63:D201,0),D$54,Primary_Loan_Amount),0)))</f>
        <v>0</v>
      </c>
      <c r="I201" s="103">
        <f>-SUM(Primary_Loan_Amount)-SUM(H$63:H201)</f>
        <v>-23217621.943162207</v>
      </c>
      <c r="J201" s="24">
        <f t="shared" si="23"/>
        <v>0</v>
      </c>
      <c r="K201" s="51">
        <f>IF(L201=1,0,IF(SUM(K$64:K200)&gt;=Construction_Timeline,0,1))</f>
        <v>0</v>
      </c>
      <c r="L201" s="13">
        <f t="shared" si="26"/>
        <v>0</v>
      </c>
      <c r="M201" s="54">
        <f t="shared" si="27"/>
        <v>50222</v>
      </c>
      <c r="N201" s="7"/>
      <c r="O201" s="12"/>
      <c r="P201" s="98"/>
      <c r="Q201" s="98"/>
      <c r="R201" s="98"/>
      <c r="S201" s="98"/>
      <c r="T201" s="3"/>
      <c r="U201" s="98"/>
      <c r="V201" s="98"/>
      <c r="W201" s="98"/>
      <c r="X201" s="98"/>
    </row>
    <row r="202" spans="2:24">
      <c r="B202" s="6"/>
      <c r="C202" s="7">
        <v>139</v>
      </c>
      <c r="D202" s="24">
        <f t="shared" si="24"/>
        <v>0</v>
      </c>
      <c r="E202" s="103">
        <f t="shared" si="25"/>
        <v>0</v>
      </c>
      <c r="F202" s="53"/>
      <c r="G202" s="24">
        <f t="shared" si="22"/>
        <v>0</v>
      </c>
      <c r="H202" s="15">
        <f>IF(G202&gt;0,0,IF(AND(H201=0,SUM(K202:L202)=0),0,IF(D202=0,PPMT(D$53/12,COUNTIF(D$63:D202,0),D$54,Primary_Loan_Amount),0)))</f>
        <v>0</v>
      </c>
      <c r="I202" s="103">
        <f>-SUM(Primary_Loan_Amount)-SUM(H$63:H202)</f>
        <v>-23217621.943162207</v>
      </c>
      <c r="J202" s="24">
        <f t="shared" si="23"/>
        <v>0</v>
      </c>
      <c r="K202" s="51">
        <f>IF(L202=1,0,IF(SUM(K$64:K201)&gt;=Construction_Timeline,0,1))</f>
        <v>0</v>
      </c>
      <c r="L202" s="13">
        <f t="shared" si="26"/>
        <v>0</v>
      </c>
      <c r="M202" s="54">
        <f t="shared" si="27"/>
        <v>50253</v>
      </c>
      <c r="N202" s="7"/>
      <c r="O202" s="12"/>
      <c r="P202" s="98"/>
      <c r="Q202" s="98"/>
      <c r="R202" s="98"/>
      <c r="S202" s="98"/>
      <c r="T202" s="3"/>
      <c r="U202" s="98"/>
      <c r="V202" s="98"/>
      <c r="W202" s="98"/>
      <c r="X202" s="98"/>
    </row>
    <row r="203" spans="2:24">
      <c r="B203" s="6"/>
      <c r="C203" s="7">
        <v>140</v>
      </c>
      <c r="D203" s="24">
        <f t="shared" si="24"/>
        <v>0</v>
      </c>
      <c r="E203" s="103">
        <f t="shared" si="25"/>
        <v>0</v>
      </c>
      <c r="F203" s="53"/>
      <c r="G203" s="24">
        <f t="shared" si="22"/>
        <v>0</v>
      </c>
      <c r="H203" s="15">
        <f>IF(G203&gt;0,0,IF(AND(H202=0,SUM(K203:L203)=0),0,IF(D203=0,PPMT(D$53/12,COUNTIF(D$63:D203,0),D$54,Primary_Loan_Amount),0)))</f>
        <v>0</v>
      </c>
      <c r="I203" s="103">
        <f>-SUM(Primary_Loan_Amount)-SUM(H$63:H203)</f>
        <v>-23217621.943162207</v>
      </c>
      <c r="J203" s="24">
        <f t="shared" si="23"/>
        <v>0</v>
      </c>
      <c r="K203" s="51">
        <f>IF(L203=1,0,IF(SUM(K$64:K202)&gt;=Construction_Timeline,0,1))</f>
        <v>0</v>
      </c>
      <c r="L203" s="13">
        <f t="shared" si="26"/>
        <v>0</v>
      </c>
      <c r="M203" s="54">
        <f t="shared" si="27"/>
        <v>50284</v>
      </c>
      <c r="N203" s="7"/>
      <c r="O203" s="12"/>
      <c r="P203" s="98"/>
      <c r="Q203" s="98"/>
      <c r="R203" s="98"/>
      <c r="S203" s="98"/>
      <c r="T203" s="3"/>
      <c r="U203" s="98"/>
      <c r="V203" s="98"/>
      <c r="W203" s="98"/>
      <c r="X203" s="98"/>
    </row>
    <row r="204" spans="2:24">
      <c r="B204" s="6"/>
      <c r="C204" s="7">
        <v>141</v>
      </c>
      <c r="D204" s="24">
        <f t="shared" si="24"/>
        <v>0</v>
      </c>
      <c r="E204" s="103">
        <f t="shared" si="25"/>
        <v>0</v>
      </c>
      <c r="F204" s="53"/>
      <c r="G204" s="24">
        <f t="shared" si="22"/>
        <v>0</v>
      </c>
      <c r="H204" s="15">
        <f>IF(G204&gt;0,0,IF(AND(H203=0,SUM(K204:L204)=0),0,IF(D204=0,PPMT(D$53/12,COUNTIF(D$63:D204,0),D$54,Primary_Loan_Amount),0)))</f>
        <v>0</v>
      </c>
      <c r="I204" s="103">
        <f>-SUM(Primary_Loan_Amount)-SUM(H$63:H204)</f>
        <v>-23217621.943162207</v>
      </c>
      <c r="J204" s="24">
        <f t="shared" si="23"/>
        <v>0</v>
      </c>
      <c r="K204" s="51">
        <f>IF(L204=1,0,IF(SUM(K$64:K203)&gt;=Construction_Timeline,0,1))</f>
        <v>0</v>
      </c>
      <c r="L204" s="13">
        <f t="shared" si="26"/>
        <v>0</v>
      </c>
      <c r="M204" s="54">
        <f t="shared" si="27"/>
        <v>50314</v>
      </c>
      <c r="N204" s="7"/>
      <c r="O204" s="12"/>
      <c r="P204" s="98"/>
      <c r="Q204" s="98"/>
      <c r="R204" s="98"/>
      <c r="S204" s="98"/>
      <c r="T204" s="3"/>
      <c r="U204" s="98"/>
      <c r="V204" s="98"/>
      <c r="W204" s="98"/>
      <c r="X204" s="98"/>
    </row>
    <row r="205" spans="2:24">
      <c r="B205" s="6"/>
      <c r="C205" s="7">
        <v>142</v>
      </c>
      <c r="D205" s="24">
        <f t="shared" si="24"/>
        <v>0</v>
      </c>
      <c r="E205" s="103">
        <f t="shared" si="25"/>
        <v>0</v>
      </c>
      <c r="F205" s="53"/>
      <c r="G205" s="24">
        <f t="shared" si="22"/>
        <v>0</v>
      </c>
      <c r="H205" s="15">
        <f>IF(G205&gt;0,0,IF(AND(H204=0,SUM(K205:L205)=0),0,IF(D205=0,PPMT(D$53/12,COUNTIF(D$63:D205,0),D$54,Primary_Loan_Amount),0)))</f>
        <v>0</v>
      </c>
      <c r="I205" s="103">
        <f>-SUM(Primary_Loan_Amount)-SUM(H$63:H205)</f>
        <v>-23217621.943162207</v>
      </c>
      <c r="J205" s="24">
        <f t="shared" si="23"/>
        <v>0</v>
      </c>
      <c r="K205" s="51">
        <f>IF(L205=1,0,IF(SUM(K$64:K204)&gt;=Construction_Timeline,0,1))</f>
        <v>0</v>
      </c>
      <c r="L205" s="13">
        <f t="shared" si="26"/>
        <v>0</v>
      </c>
      <c r="M205" s="54">
        <f t="shared" si="27"/>
        <v>50345</v>
      </c>
      <c r="N205" s="7"/>
      <c r="O205" s="12"/>
      <c r="P205" s="98"/>
      <c r="Q205" s="98"/>
      <c r="R205" s="98"/>
      <c r="S205" s="98"/>
      <c r="T205" s="3"/>
      <c r="U205" s="98"/>
      <c r="V205" s="98"/>
      <c r="W205" s="98"/>
      <c r="X205" s="98"/>
    </row>
    <row r="206" spans="2:24">
      <c r="B206" s="6"/>
      <c r="C206" s="7">
        <v>143</v>
      </c>
      <c r="D206" s="24">
        <f t="shared" si="24"/>
        <v>0</v>
      </c>
      <c r="E206" s="103">
        <f t="shared" si="25"/>
        <v>0</v>
      </c>
      <c r="F206" s="53"/>
      <c r="G206" s="24">
        <f t="shared" si="22"/>
        <v>0</v>
      </c>
      <c r="H206" s="15">
        <f>IF(G206&gt;0,0,IF(AND(H205=0,SUM(K206:L206)=0),0,IF(D206=0,PPMT(D$53/12,COUNTIF(D$63:D206,0),D$54,Primary_Loan_Amount),0)))</f>
        <v>0</v>
      </c>
      <c r="I206" s="103">
        <f>-SUM(Primary_Loan_Amount)-SUM(H$63:H206)</f>
        <v>-23217621.943162207</v>
      </c>
      <c r="J206" s="24">
        <f t="shared" si="23"/>
        <v>0</v>
      </c>
      <c r="K206" s="51">
        <f>IF(L206=1,0,IF(SUM(K$64:K205)&gt;=Construction_Timeline,0,1))</f>
        <v>0</v>
      </c>
      <c r="L206" s="13">
        <f t="shared" si="26"/>
        <v>0</v>
      </c>
      <c r="M206" s="54">
        <f t="shared" si="27"/>
        <v>50375</v>
      </c>
      <c r="N206" s="7"/>
      <c r="O206" s="12"/>
      <c r="P206" s="98"/>
      <c r="Q206" s="98"/>
      <c r="R206" s="98"/>
      <c r="S206" s="98"/>
      <c r="T206" s="3"/>
      <c r="U206" s="98"/>
      <c r="V206" s="98"/>
      <c r="W206" s="98"/>
      <c r="X206" s="98"/>
    </row>
    <row r="207" spans="2:24">
      <c r="B207" s="6"/>
      <c r="C207" s="7">
        <v>144</v>
      </c>
      <c r="D207" s="24">
        <f t="shared" si="24"/>
        <v>0</v>
      </c>
      <c r="E207" s="103">
        <f t="shared" si="25"/>
        <v>0</v>
      </c>
      <c r="F207" s="53"/>
      <c r="G207" s="24">
        <f t="shared" si="22"/>
        <v>0</v>
      </c>
      <c r="H207" s="15">
        <f>IF(G207&gt;0,0,IF(AND(H206=0,SUM(K207:L207)=0),0,IF(D207=0,PPMT(D$53/12,COUNTIF(D$63:D207,0),D$54,Primary_Loan_Amount),0)))</f>
        <v>0</v>
      </c>
      <c r="I207" s="103">
        <f>-SUM(Primary_Loan_Amount)-SUM(H$63:H207)</f>
        <v>-23217621.943162207</v>
      </c>
      <c r="J207" s="24">
        <f t="shared" si="23"/>
        <v>0</v>
      </c>
      <c r="K207" s="51">
        <f>IF(L207=1,0,IF(SUM(K$64:K206)&gt;=Construction_Timeline,0,1))</f>
        <v>0</v>
      </c>
      <c r="L207" s="13">
        <f t="shared" si="26"/>
        <v>0</v>
      </c>
      <c r="M207" s="54">
        <f t="shared" si="27"/>
        <v>50406</v>
      </c>
      <c r="N207" s="7"/>
      <c r="O207" s="12"/>
      <c r="P207" s="98"/>
      <c r="Q207" s="98"/>
      <c r="R207" s="98"/>
      <c r="S207" s="98"/>
      <c r="T207" s="3"/>
      <c r="U207" s="98"/>
      <c r="V207" s="98"/>
      <c r="W207" s="98"/>
      <c r="X207" s="98"/>
    </row>
    <row r="208" spans="2:24">
      <c r="B208" s="6"/>
      <c r="C208" s="7">
        <v>145</v>
      </c>
      <c r="D208" s="24">
        <f t="shared" si="24"/>
        <v>0</v>
      </c>
      <c r="E208" s="103">
        <f t="shared" si="25"/>
        <v>0</v>
      </c>
      <c r="F208" s="53"/>
      <c r="G208" s="24">
        <f t="shared" si="22"/>
        <v>0</v>
      </c>
      <c r="H208" s="15">
        <f>IF(G208&gt;0,0,IF(AND(H207=0,SUM(K208:L208)=0),0,IF(D208=0,PPMT(D$53/12,COUNTIF(D$63:D208,0),D$54,Primary_Loan_Amount),0)))</f>
        <v>0</v>
      </c>
      <c r="I208" s="103">
        <f>-SUM(Primary_Loan_Amount)-SUM(H$63:H208)</f>
        <v>-23217621.943162207</v>
      </c>
      <c r="J208" s="24">
        <f t="shared" si="23"/>
        <v>0</v>
      </c>
      <c r="K208" s="51">
        <f>IF(L208=1,0,IF(SUM(K$64:K207)&gt;=Construction_Timeline,0,1))</f>
        <v>0</v>
      </c>
      <c r="L208" s="13">
        <f t="shared" si="26"/>
        <v>0</v>
      </c>
      <c r="M208" s="54">
        <f t="shared" si="27"/>
        <v>50437</v>
      </c>
      <c r="N208" s="7"/>
      <c r="O208" s="12"/>
      <c r="P208" s="98"/>
      <c r="Q208" s="98"/>
      <c r="R208" s="98"/>
      <c r="S208" s="98"/>
      <c r="T208" s="3"/>
      <c r="U208" s="98"/>
      <c r="V208" s="98"/>
      <c r="W208" s="98"/>
      <c r="X208" s="98"/>
    </row>
    <row r="209" spans="2:24">
      <c r="B209" s="6"/>
      <c r="C209" s="7">
        <v>146</v>
      </c>
      <c r="D209" s="24">
        <f t="shared" si="24"/>
        <v>0</v>
      </c>
      <c r="E209" s="103">
        <f t="shared" si="25"/>
        <v>0</v>
      </c>
      <c r="F209" s="53"/>
      <c r="G209" s="24">
        <f t="shared" si="22"/>
        <v>0</v>
      </c>
      <c r="H209" s="15">
        <f>IF(G209&gt;0,0,IF(AND(H208=0,SUM(K209:L209)=0),0,IF(D209=0,PPMT(D$53/12,COUNTIF(D$63:D209,0),D$54,Primary_Loan_Amount),0)))</f>
        <v>0</v>
      </c>
      <c r="I209" s="103">
        <f>-SUM(Primary_Loan_Amount)-SUM(H$63:H209)</f>
        <v>-23217621.943162207</v>
      </c>
      <c r="J209" s="24">
        <f t="shared" si="23"/>
        <v>0</v>
      </c>
      <c r="K209" s="51">
        <f>IF(L209=1,0,IF(SUM(K$64:K208)&gt;=Construction_Timeline,0,1))</f>
        <v>0</v>
      </c>
      <c r="L209" s="13">
        <f t="shared" si="26"/>
        <v>0</v>
      </c>
      <c r="M209" s="54">
        <f t="shared" si="27"/>
        <v>50465</v>
      </c>
      <c r="N209" s="7"/>
      <c r="O209" s="12"/>
      <c r="P209" s="98"/>
      <c r="Q209" s="98"/>
      <c r="R209" s="98"/>
      <c r="S209" s="98"/>
      <c r="T209" s="3"/>
      <c r="U209" s="98"/>
      <c r="V209" s="98"/>
      <c r="W209" s="98"/>
      <c r="X209" s="98"/>
    </row>
    <row r="210" spans="2:24">
      <c r="B210" s="6"/>
      <c r="C210" s="7">
        <v>147</v>
      </c>
      <c r="D210" s="24">
        <f t="shared" si="24"/>
        <v>0</v>
      </c>
      <c r="E210" s="103">
        <f t="shared" si="25"/>
        <v>0</v>
      </c>
      <c r="F210" s="53"/>
      <c r="G210" s="24">
        <f t="shared" si="22"/>
        <v>0</v>
      </c>
      <c r="H210" s="15">
        <f>IF(G210&gt;0,0,IF(AND(H209=0,SUM(K210:L210)=0),0,IF(D210=0,PPMT(D$53/12,COUNTIF(D$63:D210,0),D$54,Primary_Loan_Amount),0)))</f>
        <v>0</v>
      </c>
      <c r="I210" s="103">
        <f>-SUM(Primary_Loan_Amount)-SUM(H$63:H210)</f>
        <v>-23217621.943162207</v>
      </c>
      <c r="J210" s="24">
        <f t="shared" si="23"/>
        <v>0</v>
      </c>
      <c r="K210" s="51">
        <f>IF(L210=1,0,IF(SUM(K$64:K209)&gt;=Construction_Timeline,0,1))</f>
        <v>0</v>
      </c>
      <c r="L210" s="13">
        <f t="shared" si="26"/>
        <v>0</v>
      </c>
      <c r="M210" s="54">
        <f t="shared" si="27"/>
        <v>50496</v>
      </c>
      <c r="N210" s="7"/>
      <c r="O210" s="12"/>
      <c r="P210" s="98"/>
      <c r="Q210" s="98"/>
      <c r="R210" s="98"/>
      <c r="S210" s="98"/>
      <c r="T210" s="3"/>
      <c r="U210" s="98"/>
      <c r="V210" s="98"/>
      <c r="W210" s="98"/>
      <c r="X210" s="98"/>
    </row>
    <row r="211" spans="2:24">
      <c r="B211" s="6"/>
      <c r="C211" s="7">
        <v>148</v>
      </c>
      <c r="D211" s="24">
        <f t="shared" si="24"/>
        <v>0</v>
      </c>
      <c r="E211" s="103">
        <f t="shared" si="25"/>
        <v>0</v>
      </c>
      <c r="F211" s="53"/>
      <c r="G211" s="24">
        <f t="shared" si="22"/>
        <v>0</v>
      </c>
      <c r="H211" s="15">
        <f>IF(G211&gt;0,0,IF(AND(H210=0,SUM(K211:L211)=0),0,IF(D211=0,PPMT(D$53/12,COUNTIF(D$63:D211,0),D$54,Primary_Loan_Amount),0)))</f>
        <v>0</v>
      </c>
      <c r="I211" s="103">
        <f>-SUM(Primary_Loan_Amount)-SUM(H$63:H211)</f>
        <v>-23217621.943162207</v>
      </c>
      <c r="J211" s="24">
        <f t="shared" si="23"/>
        <v>0</v>
      </c>
      <c r="K211" s="51">
        <f>IF(L211=1,0,IF(SUM(K$64:K210)&gt;=Construction_Timeline,0,1))</f>
        <v>0</v>
      </c>
      <c r="L211" s="13">
        <f t="shared" si="26"/>
        <v>0</v>
      </c>
      <c r="M211" s="54">
        <f t="shared" si="27"/>
        <v>50526</v>
      </c>
      <c r="N211" s="7"/>
      <c r="O211" s="12"/>
      <c r="P211" s="98"/>
      <c r="Q211" s="98"/>
      <c r="R211" s="98"/>
      <c r="S211" s="98"/>
      <c r="T211" s="3"/>
      <c r="U211" s="98"/>
      <c r="V211" s="98"/>
      <c r="W211" s="98"/>
      <c r="X211" s="98"/>
    </row>
    <row r="212" spans="2:24">
      <c r="B212" s="6"/>
      <c r="C212" s="7">
        <v>149</v>
      </c>
      <c r="D212" s="24">
        <f t="shared" si="24"/>
        <v>0</v>
      </c>
      <c r="E212" s="103">
        <f t="shared" si="25"/>
        <v>0</v>
      </c>
      <c r="F212" s="53"/>
      <c r="G212" s="24">
        <f t="shared" si="22"/>
        <v>0</v>
      </c>
      <c r="H212" s="15">
        <f>IF(G212&gt;0,0,IF(AND(H211=0,SUM(K212:L212)=0),0,IF(D212=0,PPMT(D$53/12,COUNTIF(D$63:D212,0),D$54,Primary_Loan_Amount),0)))</f>
        <v>0</v>
      </c>
      <c r="I212" s="103">
        <f>-SUM(Primary_Loan_Amount)-SUM(H$63:H212)</f>
        <v>-23217621.943162207</v>
      </c>
      <c r="J212" s="24">
        <f t="shared" si="23"/>
        <v>0</v>
      </c>
      <c r="K212" s="51">
        <f>IF(L212=1,0,IF(SUM(K$64:K211)&gt;=Construction_Timeline,0,1))</f>
        <v>0</v>
      </c>
      <c r="L212" s="13">
        <f t="shared" si="26"/>
        <v>0</v>
      </c>
      <c r="M212" s="54">
        <f t="shared" si="27"/>
        <v>50557</v>
      </c>
      <c r="N212" s="7"/>
      <c r="O212" s="12"/>
      <c r="P212" s="98"/>
      <c r="Q212" s="98"/>
      <c r="R212" s="98"/>
      <c r="S212" s="98"/>
      <c r="T212" s="3"/>
      <c r="U212" s="98"/>
      <c r="V212" s="98"/>
      <c r="W212" s="98"/>
      <c r="X212" s="98"/>
    </row>
    <row r="213" spans="2:24">
      <c r="B213" s="6"/>
      <c r="C213" s="7">
        <v>150</v>
      </c>
      <c r="D213" s="24">
        <f t="shared" si="24"/>
        <v>0</v>
      </c>
      <c r="E213" s="103">
        <f t="shared" si="25"/>
        <v>0</v>
      </c>
      <c r="F213" s="53"/>
      <c r="G213" s="24">
        <f t="shared" si="22"/>
        <v>0</v>
      </c>
      <c r="H213" s="15">
        <f>IF(G213&gt;0,0,IF(AND(H212=0,SUM(K213:L213)=0),0,IF(D213=0,PPMT(D$53/12,COUNTIF(D$63:D213,0),D$54,Primary_Loan_Amount),0)))</f>
        <v>0</v>
      </c>
      <c r="I213" s="103">
        <f>-SUM(Primary_Loan_Amount)-SUM(H$63:H213)</f>
        <v>-23217621.943162207</v>
      </c>
      <c r="J213" s="24">
        <f t="shared" si="23"/>
        <v>0</v>
      </c>
      <c r="K213" s="51">
        <f>IF(L213=1,0,IF(SUM(K$64:K212)&gt;=Construction_Timeline,0,1))</f>
        <v>0</v>
      </c>
      <c r="L213" s="13">
        <f t="shared" si="26"/>
        <v>0</v>
      </c>
      <c r="M213" s="54">
        <f t="shared" si="27"/>
        <v>50587</v>
      </c>
      <c r="N213" s="7"/>
      <c r="O213" s="12"/>
      <c r="P213" s="98"/>
      <c r="Q213" s="98"/>
      <c r="R213" s="98"/>
      <c r="S213" s="98"/>
      <c r="T213" s="3"/>
      <c r="U213" s="98"/>
      <c r="V213" s="98"/>
      <c r="W213" s="98"/>
      <c r="X213" s="98"/>
    </row>
    <row r="214" spans="2:24">
      <c r="B214" s="6"/>
      <c r="C214" s="7">
        <v>151</v>
      </c>
      <c r="D214" s="24">
        <f t="shared" si="24"/>
        <v>0</v>
      </c>
      <c r="E214" s="103">
        <f t="shared" si="25"/>
        <v>0</v>
      </c>
      <c r="F214" s="53"/>
      <c r="G214" s="24">
        <f t="shared" si="22"/>
        <v>0</v>
      </c>
      <c r="H214" s="15">
        <f>IF(G214&gt;0,0,IF(AND(H213=0,SUM(K214:L214)=0),0,IF(D214=0,PPMT(D$53/12,COUNTIF(D$63:D214,0),D$54,Primary_Loan_Amount),0)))</f>
        <v>0</v>
      </c>
      <c r="I214" s="103">
        <f>-SUM(Primary_Loan_Amount)-SUM(H$63:H214)</f>
        <v>-23217621.943162207</v>
      </c>
      <c r="J214" s="24">
        <f t="shared" si="23"/>
        <v>0</v>
      </c>
      <c r="K214" s="51">
        <f>IF(L214=1,0,IF(SUM(K$64:K213)&gt;=Construction_Timeline,0,1))</f>
        <v>0</v>
      </c>
      <c r="L214" s="13">
        <f t="shared" si="26"/>
        <v>0</v>
      </c>
      <c r="M214" s="54">
        <f t="shared" si="27"/>
        <v>50618</v>
      </c>
      <c r="N214" s="7"/>
      <c r="O214" s="12"/>
      <c r="P214" s="98"/>
      <c r="Q214" s="98"/>
      <c r="R214" s="98"/>
      <c r="S214" s="98"/>
      <c r="T214" s="3"/>
      <c r="U214" s="98"/>
      <c r="V214" s="98"/>
      <c r="W214" s="98"/>
      <c r="X214" s="98"/>
    </row>
    <row r="215" spans="2:24">
      <c r="B215" s="6"/>
      <c r="C215" s="7">
        <v>152</v>
      </c>
      <c r="D215" s="24">
        <f t="shared" si="24"/>
        <v>0</v>
      </c>
      <c r="E215" s="103">
        <f t="shared" si="25"/>
        <v>0</v>
      </c>
      <c r="F215" s="53"/>
      <c r="G215" s="24">
        <f t="shared" si="22"/>
        <v>0</v>
      </c>
      <c r="H215" s="15">
        <f>IF(G215&gt;0,0,IF(AND(H214=0,SUM(K215:L215)=0),0,IF(D215=0,PPMT(D$53/12,COUNTIF(D$63:D215,0),D$54,Primary_Loan_Amount),0)))</f>
        <v>0</v>
      </c>
      <c r="I215" s="103">
        <f>-SUM(Primary_Loan_Amount)-SUM(H$63:H215)</f>
        <v>-23217621.943162207</v>
      </c>
      <c r="J215" s="24">
        <f t="shared" si="23"/>
        <v>0</v>
      </c>
      <c r="K215" s="51">
        <f>IF(L215=1,0,IF(SUM(K$64:K214)&gt;=Construction_Timeline,0,1))</f>
        <v>0</v>
      </c>
      <c r="L215" s="13">
        <f t="shared" si="26"/>
        <v>0</v>
      </c>
      <c r="M215" s="54">
        <f t="shared" si="27"/>
        <v>50649</v>
      </c>
      <c r="N215" s="7"/>
      <c r="O215" s="12"/>
      <c r="P215" s="98"/>
      <c r="Q215" s="98"/>
      <c r="R215" s="98"/>
      <c r="S215" s="98"/>
      <c r="T215" s="3"/>
      <c r="U215" s="98"/>
      <c r="V215" s="98"/>
      <c r="W215" s="98"/>
      <c r="X215" s="98"/>
    </row>
    <row r="216" spans="2:24">
      <c r="B216" s="6"/>
      <c r="C216" s="7">
        <v>153</v>
      </c>
      <c r="D216" s="24">
        <f t="shared" si="24"/>
        <v>0</v>
      </c>
      <c r="E216" s="103">
        <f t="shared" si="25"/>
        <v>0</v>
      </c>
      <c r="F216" s="53"/>
      <c r="G216" s="24">
        <f t="shared" si="22"/>
        <v>0</v>
      </c>
      <c r="H216" s="15">
        <f>IF(G216&gt;0,0,IF(AND(H215=0,SUM(K216:L216)=0),0,IF(D216=0,PPMT(D$53/12,COUNTIF(D$63:D216,0),D$54,Primary_Loan_Amount),0)))</f>
        <v>0</v>
      </c>
      <c r="I216" s="103">
        <f>-SUM(Primary_Loan_Amount)-SUM(H$63:H216)</f>
        <v>-23217621.943162207</v>
      </c>
      <c r="J216" s="24">
        <f t="shared" si="23"/>
        <v>0</v>
      </c>
      <c r="K216" s="51">
        <f>IF(L216=1,0,IF(SUM(K$64:K215)&gt;=Construction_Timeline,0,1))</f>
        <v>0</v>
      </c>
      <c r="L216" s="13">
        <f t="shared" si="26"/>
        <v>0</v>
      </c>
      <c r="M216" s="54">
        <f t="shared" si="27"/>
        <v>50679</v>
      </c>
      <c r="N216" s="7"/>
      <c r="O216" s="12"/>
      <c r="P216" s="98"/>
      <c r="Q216" s="98"/>
      <c r="R216" s="98"/>
      <c r="S216" s="98"/>
      <c r="T216" s="3"/>
      <c r="U216" s="98"/>
      <c r="V216" s="98"/>
      <c r="W216" s="98"/>
      <c r="X216" s="98"/>
    </row>
    <row r="217" spans="2:24">
      <c r="B217" s="6"/>
      <c r="C217" s="7">
        <v>154</v>
      </c>
      <c r="D217" s="24">
        <f t="shared" si="24"/>
        <v>0</v>
      </c>
      <c r="E217" s="103">
        <f t="shared" si="25"/>
        <v>0</v>
      </c>
      <c r="F217" s="53"/>
      <c r="G217" s="24">
        <f t="shared" si="22"/>
        <v>0</v>
      </c>
      <c r="H217" s="15">
        <f>IF(G217&gt;0,0,IF(AND(H216=0,SUM(K217:L217)=0),0,IF(D217=0,PPMT(D$53/12,COUNTIF(D$63:D217,0),D$54,Primary_Loan_Amount),0)))</f>
        <v>0</v>
      </c>
      <c r="I217" s="103">
        <f>-SUM(Primary_Loan_Amount)-SUM(H$63:H217)</f>
        <v>-23217621.943162207</v>
      </c>
      <c r="J217" s="24">
        <f t="shared" si="23"/>
        <v>0</v>
      </c>
      <c r="K217" s="51">
        <f>IF(L217=1,0,IF(SUM(K$64:K216)&gt;=Construction_Timeline,0,1))</f>
        <v>0</v>
      </c>
      <c r="L217" s="13">
        <f t="shared" si="26"/>
        <v>0</v>
      </c>
      <c r="M217" s="54">
        <f t="shared" si="27"/>
        <v>50710</v>
      </c>
      <c r="N217" s="7"/>
      <c r="O217" s="12"/>
      <c r="P217" s="98"/>
      <c r="Q217" s="98"/>
      <c r="R217" s="98"/>
      <c r="S217" s="98"/>
      <c r="T217" s="3"/>
      <c r="U217" s="98"/>
      <c r="V217" s="98"/>
      <c r="W217" s="98"/>
      <c r="X217" s="98"/>
    </row>
    <row r="218" spans="2:24">
      <c r="B218" s="6"/>
      <c r="C218" s="7">
        <v>155</v>
      </c>
      <c r="D218" s="24">
        <f t="shared" si="24"/>
        <v>0</v>
      </c>
      <c r="E218" s="103">
        <f t="shared" si="25"/>
        <v>0</v>
      </c>
      <c r="F218" s="53"/>
      <c r="G218" s="24">
        <f t="shared" si="22"/>
        <v>0</v>
      </c>
      <c r="H218" s="15">
        <f>IF(G218&gt;0,0,IF(AND(H217=0,SUM(K218:L218)=0),0,IF(D218=0,PPMT(D$53/12,COUNTIF(D$63:D218,0),D$54,Primary_Loan_Amount),0)))</f>
        <v>0</v>
      </c>
      <c r="I218" s="103">
        <f>-SUM(Primary_Loan_Amount)-SUM(H$63:H218)</f>
        <v>-23217621.943162207</v>
      </c>
      <c r="J218" s="24">
        <f t="shared" si="23"/>
        <v>0</v>
      </c>
      <c r="K218" s="51">
        <f>IF(L218=1,0,IF(SUM(K$64:K217)&gt;=Construction_Timeline,0,1))</f>
        <v>0</v>
      </c>
      <c r="L218" s="13">
        <f t="shared" si="26"/>
        <v>0</v>
      </c>
      <c r="M218" s="54">
        <f t="shared" si="27"/>
        <v>50740</v>
      </c>
      <c r="N218" s="7"/>
      <c r="O218" s="12"/>
      <c r="P218" s="98"/>
      <c r="Q218" s="98"/>
      <c r="R218" s="98"/>
      <c r="S218" s="98"/>
      <c r="T218" s="3"/>
      <c r="U218" s="98"/>
      <c r="V218" s="98"/>
      <c r="W218" s="98"/>
      <c r="X218" s="98"/>
    </row>
    <row r="219" spans="2:24">
      <c r="B219" s="6"/>
      <c r="C219" s="7">
        <v>156</v>
      </c>
      <c r="D219" s="24">
        <f t="shared" si="24"/>
        <v>0</v>
      </c>
      <c r="E219" s="103">
        <f t="shared" si="25"/>
        <v>0</v>
      </c>
      <c r="F219" s="53"/>
      <c r="G219" s="24">
        <f t="shared" si="22"/>
        <v>0</v>
      </c>
      <c r="H219" s="15">
        <f>IF(G219&gt;0,0,IF(AND(H218=0,SUM(K219:L219)=0),0,IF(D219=0,PPMT(D$53/12,COUNTIF(D$63:D219,0),D$54,Primary_Loan_Amount),0)))</f>
        <v>0</v>
      </c>
      <c r="I219" s="103">
        <f>-SUM(Primary_Loan_Amount)-SUM(H$63:H219)</f>
        <v>-23217621.943162207</v>
      </c>
      <c r="J219" s="24">
        <f t="shared" si="23"/>
        <v>0</v>
      </c>
      <c r="K219" s="51">
        <f>IF(L219=1,0,IF(SUM(K$64:K218)&gt;=Construction_Timeline,0,1))</f>
        <v>0</v>
      </c>
      <c r="L219" s="13">
        <f t="shared" si="26"/>
        <v>0</v>
      </c>
      <c r="M219" s="54">
        <f t="shared" si="27"/>
        <v>50771</v>
      </c>
      <c r="N219" s="7"/>
      <c r="O219" s="12"/>
      <c r="P219" s="98"/>
      <c r="Q219" s="98"/>
      <c r="R219" s="98"/>
      <c r="S219" s="98"/>
      <c r="T219" s="3"/>
      <c r="U219" s="98"/>
      <c r="V219" s="98"/>
      <c r="W219" s="98"/>
      <c r="X219" s="98"/>
    </row>
    <row r="220" spans="2:24">
      <c r="B220" s="6"/>
      <c r="C220" s="7">
        <v>157</v>
      </c>
      <c r="D220" s="24">
        <f t="shared" si="24"/>
        <v>0</v>
      </c>
      <c r="E220" s="103">
        <f t="shared" si="25"/>
        <v>0</v>
      </c>
      <c r="F220" s="53"/>
      <c r="G220" s="24">
        <f t="shared" si="22"/>
        <v>0</v>
      </c>
      <c r="H220" s="15">
        <f>IF(G220&gt;0,0,IF(AND(H219=0,SUM(K220:L220)=0),0,IF(D220=0,PPMT(D$53/12,COUNTIF(D$63:D220,0),D$54,Primary_Loan_Amount),0)))</f>
        <v>0</v>
      </c>
      <c r="I220" s="103">
        <f>-SUM(Primary_Loan_Amount)-SUM(H$63:H220)</f>
        <v>-23217621.943162207</v>
      </c>
      <c r="J220" s="24">
        <f t="shared" si="23"/>
        <v>0</v>
      </c>
      <c r="K220" s="51">
        <f>IF(L220=1,0,IF(SUM(K$64:K219)&gt;=Construction_Timeline,0,1))</f>
        <v>0</v>
      </c>
      <c r="L220" s="13">
        <f t="shared" si="26"/>
        <v>0</v>
      </c>
      <c r="M220" s="54">
        <f t="shared" si="27"/>
        <v>50802</v>
      </c>
      <c r="N220" s="7"/>
      <c r="O220" s="12"/>
      <c r="P220" s="98"/>
      <c r="Q220" s="98"/>
      <c r="R220" s="98"/>
      <c r="S220" s="98"/>
      <c r="T220" s="3"/>
      <c r="U220" s="98"/>
      <c r="V220" s="98"/>
      <c r="W220" s="98"/>
      <c r="X220" s="98"/>
    </row>
    <row r="221" spans="2:24">
      <c r="B221" s="6"/>
      <c r="C221" s="7">
        <v>158</v>
      </c>
      <c r="D221" s="24">
        <f t="shared" si="24"/>
        <v>0</v>
      </c>
      <c r="E221" s="103">
        <f t="shared" si="25"/>
        <v>0</v>
      </c>
      <c r="F221" s="53"/>
      <c r="G221" s="24">
        <f t="shared" si="22"/>
        <v>0</v>
      </c>
      <c r="H221" s="15">
        <f>IF(G221&gt;0,0,IF(AND(H220=0,SUM(K221:L221)=0),0,IF(D221=0,PPMT(D$53/12,COUNTIF(D$63:D221,0),D$54,Primary_Loan_Amount),0)))</f>
        <v>0</v>
      </c>
      <c r="I221" s="103">
        <f>-SUM(Primary_Loan_Amount)-SUM(H$63:H221)</f>
        <v>-23217621.943162207</v>
      </c>
      <c r="J221" s="24">
        <f t="shared" si="23"/>
        <v>0</v>
      </c>
      <c r="K221" s="51">
        <f>IF(L221=1,0,IF(SUM(K$64:K220)&gt;=Construction_Timeline,0,1))</f>
        <v>0</v>
      </c>
      <c r="L221" s="13">
        <f t="shared" si="26"/>
        <v>0</v>
      </c>
      <c r="M221" s="54">
        <f t="shared" si="27"/>
        <v>50830</v>
      </c>
      <c r="N221" s="7"/>
      <c r="O221" s="12"/>
      <c r="P221" s="98"/>
      <c r="Q221" s="98"/>
      <c r="R221" s="98"/>
      <c r="S221" s="98"/>
      <c r="T221" s="3"/>
      <c r="U221" s="98"/>
      <c r="V221" s="98"/>
      <c r="W221" s="98"/>
      <c r="X221" s="98"/>
    </row>
    <row r="222" spans="2:24">
      <c r="B222" s="6"/>
      <c r="C222" s="7">
        <v>159</v>
      </c>
      <c r="D222" s="24">
        <f t="shared" si="24"/>
        <v>0</v>
      </c>
      <c r="E222" s="103">
        <f t="shared" si="25"/>
        <v>0</v>
      </c>
      <c r="F222" s="53"/>
      <c r="G222" s="24">
        <f t="shared" si="22"/>
        <v>0</v>
      </c>
      <c r="H222" s="15">
        <f>IF(G222&gt;0,0,IF(AND(H221=0,SUM(K222:L222)=0),0,IF(D222=0,PPMT(D$53/12,COUNTIF(D$63:D222,0),D$54,Primary_Loan_Amount),0)))</f>
        <v>0</v>
      </c>
      <c r="I222" s="103">
        <f>-SUM(Primary_Loan_Amount)-SUM(H$63:H222)</f>
        <v>-23217621.943162207</v>
      </c>
      <c r="J222" s="24">
        <f t="shared" si="23"/>
        <v>0</v>
      </c>
      <c r="K222" s="51">
        <f>IF(L222=1,0,IF(SUM(K$64:K221)&gt;=Construction_Timeline,0,1))</f>
        <v>0</v>
      </c>
      <c r="L222" s="13">
        <f t="shared" si="26"/>
        <v>0</v>
      </c>
      <c r="M222" s="54">
        <f t="shared" si="27"/>
        <v>50861</v>
      </c>
      <c r="N222" s="7"/>
      <c r="O222" s="12"/>
      <c r="P222" s="98"/>
      <c r="Q222" s="98"/>
      <c r="R222" s="98"/>
      <c r="S222" s="98"/>
      <c r="T222" s="3"/>
      <c r="U222" s="98"/>
      <c r="V222" s="98"/>
      <c r="W222" s="98"/>
      <c r="X222" s="98"/>
    </row>
    <row r="223" spans="2:24">
      <c r="B223" s="6"/>
      <c r="C223" s="7">
        <v>160</v>
      </c>
      <c r="D223" s="24">
        <f t="shared" si="24"/>
        <v>0</v>
      </c>
      <c r="E223" s="103">
        <f t="shared" si="25"/>
        <v>0</v>
      </c>
      <c r="F223" s="53"/>
      <c r="G223" s="24">
        <f t="shared" ref="G223:G243" si="28">IF(C223=SUM(Month_of_Sale,PreDev_Timeline,Construction_Timeline),Sale_Price*(1-D$44),0)</f>
        <v>0</v>
      </c>
      <c r="H223" s="15">
        <f>IF(G223&gt;0,0,IF(AND(H222=0,SUM(K223:L223)=0),0,IF(D223=0,PPMT(D$53/12,COUNTIF(D$63:D223,0),D$54,Primary_Loan_Amount),0)))</f>
        <v>0</v>
      </c>
      <c r="I223" s="103">
        <f>-SUM(Primary_Loan_Amount)-SUM(H$63:H223)</f>
        <v>-23217621.943162207</v>
      </c>
      <c r="J223" s="24">
        <f t="shared" ref="J223:J243" si="29">SUM(D223,F223,G223)+IF(G223&gt;0,I223)</f>
        <v>0</v>
      </c>
      <c r="K223" s="51">
        <f>IF(L223=1,0,IF(SUM(K$64:K222)&gt;=Construction_Timeline,0,1))</f>
        <v>0</v>
      </c>
      <c r="L223" s="13">
        <f t="shared" si="26"/>
        <v>0</v>
      </c>
      <c r="M223" s="54">
        <f t="shared" si="27"/>
        <v>50891</v>
      </c>
      <c r="N223" s="7"/>
      <c r="O223" s="12"/>
      <c r="P223" s="98"/>
      <c r="Q223" s="98"/>
      <c r="R223" s="98"/>
      <c r="S223" s="98"/>
      <c r="T223" s="3"/>
      <c r="U223" s="98"/>
      <c r="V223" s="98"/>
      <c r="W223" s="98"/>
      <c r="X223" s="98"/>
    </row>
    <row r="224" spans="2:24">
      <c r="B224" s="6"/>
      <c r="C224" s="7">
        <v>161</v>
      </c>
      <c r="D224" s="24">
        <f t="shared" ref="D224:D243" si="30">IF(AND(C223&gt;0,E223&gt;=D223),E223,IF(L224=1,-Pre_Development_Costs/PreDev_Timeline,IF(K224=1,MAX(E223,-D$43/Construction_Timeline),0)))</f>
        <v>0</v>
      </c>
      <c r="E224" s="103">
        <f t="shared" ref="E224:E243" si="31">E223-D224</f>
        <v>0</v>
      </c>
      <c r="F224" s="53"/>
      <c r="G224" s="24">
        <f t="shared" si="28"/>
        <v>0</v>
      </c>
      <c r="H224" s="15">
        <f>IF(G224&gt;0,0,IF(AND(H223=0,SUM(K224:L224)=0),0,IF(D224=0,PPMT(D$53/12,COUNTIF(D$63:D224,0),D$54,Primary_Loan_Amount),0)))</f>
        <v>0</v>
      </c>
      <c r="I224" s="103">
        <f>-SUM(Primary_Loan_Amount)-SUM(H$63:H224)</f>
        <v>-23217621.943162207</v>
      </c>
      <c r="J224" s="24">
        <f t="shared" si="29"/>
        <v>0</v>
      </c>
      <c r="K224" s="51">
        <f>IF(L224=1,0,IF(SUM(K$64:K223)&gt;=Construction_Timeline,0,1))</f>
        <v>0</v>
      </c>
      <c r="L224" s="13">
        <f t="shared" ref="L224:L243" si="32">IF(C224&lt;=PreDev_Timeline,1,0)</f>
        <v>0</v>
      </c>
      <c r="M224" s="54">
        <f t="shared" si="27"/>
        <v>50922</v>
      </c>
      <c r="N224" s="7"/>
      <c r="O224" s="12"/>
      <c r="P224" s="98"/>
      <c r="Q224" s="98"/>
      <c r="R224" s="98"/>
      <c r="S224" s="98"/>
      <c r="T224" s="3"/>
      <c r="U224" s="98"/>
      <c r="V224" s="98"/>
      <c r="W224" s="98"/>
      <c r="X224" s="98"/>
    </row>
    <row r="225" spans="2:24">
      <c r="B225" s="6"/>
      <c r="C225" s="7">
        <v>162</v>
      </c>
      <c r="D225" s="24">
        <f t="shared" si="30"/>
        <v>0</v>
      </c>
      <c r="E225" s="103">
        <f t="shared" si="31"/>
        <v>0</v>
      </c>
      <c r="F225" s="53"/>
      <c r="G225" s="24">
        <f t="shared" si="28"/>
        <v>0</v>
      </c>
      <c r="H225" s="15">
        <f>IF(G225&gt;0,0,IF(AND(H224=0,SUM(K225:L225)=0),0,IF(D225=0,PPMT(D$53/12,COUNTIF(D$63:D225,0),D$54,Primary_Loan_Amount),0)))</f>
        <v>0</v>
      </c>
      <c r="I225" s="103">
        <f>-SUM(Primary_Loan_Amount)-SUM(H$63:H225)</f>
        <v>-23217621.943162207</v>
      </c>
      <c r="J225" s="24">
        <f t="shared" si="29"/>
        <v>0</v>
      </c>
      <c r="K225" s="51">
        <f>IF(L225=1,0,IF(SUM(K$64:K224)&gt;=Construction_Timeline,0,1))</f>
        <v>0</v>
      </c>
      <c r="L225" s="13">
        <f t="shared" si="32"/>
        <v>0</v>
      </c>
      <c r="M225" s="54">
        <f t="shared" si="27"/>
        <v>50952</v>
      </c>
      <c r="N225" s="7"/>
      <c r="O225" s="12"/>
      <c r="P225" s="98"/>
      <c r="Q225" s="98"/>
      <c r="R225" s="98"/>
      <c r="S225" s="98"/>
      <c r="T225" s="3"/>
      <c r="U225" s="98"/>
      <c r="V225" s="98"/>
      <c r="W225" s="98"/>
      <c r="X225" s="98"/>
    </row>
    <row r="226" spans="2:24">
      <c r="B226" s="6"/>
      <c r="C226" s="7">
        <v>163</v>
      </c>
      <c r="D226" s="24">
        <f t="shared" si="30"/>
        <v>0</v>
      </c>
      <c r="E226" s="103">
        <f t="shared" si="31"/>
        <v>0</v>
      </c>
      <c r="F226" s="53"/>
      <c r="G226" s="24">
        <f t="shared" si="28"/>
        <v>0</v>
      </c>
      <c r="H226" s="15">
        <f>IF(G226&gt;0,0,IF(AND(H225=0,SUM(K226:L226)=0),0,IF(D226=0,PPMT(D$53/12,COUNTIF(D$63:D226,0),D$54,Primary_Loan_Amount),0)))</f>
        <v>0</v>
      </c>
      <c r="I226" s="103">
        <f>-SUM(Primary_Loan_Amount)-SUM(H$63:H226)</f>
        <v>-23217621.943162207</v>
      </c>
      <c r="J226" s="24">
        <f t="shared" si="29"/>
        <v>0</v>
      </c>
      <c r="K226" s="51">
        <f>IF(L226=1,0,IF(SUM(K$64:K225)&gt;=Construction_Timeline,0,1))</f>
        <v>0</v>
      </c>
      <c r="L226" s="13">
        <f t="shared" si="32"/>
        <v>0</v>
      </c>
      <c r="M226" s="54">
        <f t="shared" si="27"/>
        <v>50983</v>
      </c>
      <c r="N226" s="7"/>
      <c r="O226" s="12"/>
      <c r="P226" s="98"/>
      <c r="Q226" s="98"/>
      <c r="R226" s="98"/>
      <c r="S226" s="98"/>
      <c r="T226" s="3"/>
      <c r="U226" s="98"/>
      <c r="V226" s="98"/>
      <c r="W226" s="98"/>
      <c r="X226" s="98"/>
    </row>
    <row r="227" spans="2:24">
      <c r="B227" s="6"/>
      <c r="C227" s="7">
        <v>164</v>
      </c>
      <c r="D227" s="24">
        <f t="shared" si="30"/>
        <v>0</v>
      </c>
      <c r="E227" s="103">
        <f t="shared" si="31"/>
        <v>0</v>
      </c>
      <c r="F227" s="53"/>
      <c r="G227" s="24">
        <f t="shared" si="28"/>
        <v>0</v>
      </c>
      <c r="H227" s="15">
        <f>IF(G227&gt;0,0,IF(AND(H226=0,SUM(K227:L227)=0),0,IF(D227=0,PPMT(D$53/12,COUNTIF(D$63:D227,0),D$54,Primary_Loan_Amount),0)))</f>
        <v>0</v>
      </c>
      <c r="I227" s="103">
        <f>-SUM(Primary_Loan_Amount)-SUM(H$63:H227)</f>
        <v>-23217621.943162207</v>
      </c>
      <c r="J227" s="24">
        <f t="shared" si="29"/>
        <v>0</v>
      </c>
      <c r="K227" s="51">
        <f>IF(L227=1,0,IF(SUM(K$64:K226)&gt;=Construction_Timeline,0,1))</f>
        <v>0</v>
      </c>
      <c r="L227" s="13">
        <f t="shared" si="32"/>
        <v>0</v>
      </c>
      <c r="M227" s="54">
        <f t="shared" si="27"/>
        <v>51014</v>
      </c>
      <c r="N227" s="7"/>
      <c r="O227" s="12"/>
      <c r="P227" s="98"/>
      <c r="Q227" s="98"/>
      <c r="R227" s="98"/>
      <c r="S227" s="98"/>
      <c r="T227" s="3"/>
      <c r="U227" s="98"/>
      <c r="V227" s="98"/>
      <c r="W227" s="98"/>
      <c r="X227" s="98"/>
    </row>
    <row r="228" spans="2:24">
      <c r="B228" s="6"/>
      <c r="C228" s="7">
        <v>165</v>
      </c>
      <c r="D228" s="24">
        <f t="shared" si="30"/>
        <v>0</v>
      </c>
      <c r="E228" s="103">
        <f t="shared" si="31"/>
        <v>0</v>
      </c>
      <c r="F228" s="53"/>
      <c r="G228" s="24">
        <f t="shared" si="28"/>
        <v>0</v>
      </c>
      <c r="H228" s="15">
        <f>IF(G228&gt;0,0,IF(AND(H227=0,SUM(K228:L228)=0),0,IF(D228=0,PPMT(D$53/12,COUNTIF(D$63:D228,0),D$54,Primary_Loan_Amount),0)))</f>
        <v>0</v>
      </c>
      <c r="I228" s="103">
        <f>-SUM(Primary_Loan_Amount)-SUM(H$63:H228)</f>
        <v>-23217621.943162207</v>
      </c>
      <c r="J228" s="24">
        <f t="shared" si="29"/>
        <v>0</v>
      </c>
      <c r="K228" s="51">
        <f>IF(L228=1,0,IF(SUM(K$64:K227)&gt;=Construction_Timeline,0,1))</f>
        <v>0</v>
      </c>
      <c r="L228" s="13">
        <f t="shared" si="32"/>
        <v>0</v>
      </c>
      <c r="M228" s="54">
        <f t="shared" si="27"/>
        <v>51044</v>
      </c>
      <c r="N228" s="7"/>
      <c r="O228" s="12"/>
      <c r="P228" s="98"/>
      <c r="Q228" s="98"/>
      <c r="R228" s="98"/>
      <c r="S228" s="98"/>
      <c r="T228" s="3"/>
      <c r="U228" s="98"/>
      <c r="V228" s="98"/>
      <c r="W228" s="98"/>
      <c r="X228" s="98"/>
    </row>
    <row r="229" spans="2:24">
      <c r="B229" s="6"/>
      <c r="C229" s="7">
        <v>166</v>
      </c>
      <c r="D229" s="24">
        <f t="shared" si="30"/>
        <v>0</v>
      </c>
      <c r="E229" s="103">
        <f t="shared" si="31"/>
        <v>0</v>
      </c>
      <c r="F229" s="53"/>
      <c r="G229" s="24">
        <f t="shared" si="28"/>
        <v>0</v>
      </c>
      <c r="H229" s="15">
        <f>IF(G229&gt;0,0,IF(AND(H228=0,SUM(K229:L229)=0),0,IF(D229=0,PPMT(D$53/12,COUNTIF(D$63:D229,0),D$54,Primary_Loan_Amount),0)))</f>
        <v>0</v>
      </c>
      <c r="I229" s="103">
        <f>-SUM(Primary_Loan_Amount)-SUM(H$63:H229)</f>
        <v>-23217621.943162207</v>
      </c>
      <c r="J229" s="24">
        <f t="shared" si="29"/>
        <v>0</v>
      </c>
      <c r="K229" s="51">
        <f>IF(L229=1,0,IF(SUM(K$64:K228)&gt;=Construction_Timeline,0,1))</f>
        <v>0</v>
      </c>
      <c r="L229" s="13">
        <f t="shared" si="32"/>
        <v>0</v>
      </c>
      <c r="M229" s="54">
        <f t="shared" si="27"/>
        <v>51075</v>
      </c>
      <c r="N229" s="7"/>
      <c r="O229" s="12"/>
      <c r="P229" s="98"/>
      <c r="Q229" s="98"/>
      <c r="R229" s="98"/>
      <c r="S229" s="98"/>
      <c r="T229" s="3"/>
      <c r="U229" s="98"/>
      <c r="V229" s="98"/>
      <c r="W229" s="98"/>
      <c r="X229" s="98"/>
    </row>
    <row r="230" spans="2:24">
      <c r="B230" s="6"/>
      <c r="C230" s="7">
        <v>167</v>
      </c>
      <c r="D230" s="24">
        <f t="shared" si="30"/>
        <v>0</v>
      </c>
      <c r="E230" s="103">
        <f t="shared" si="31"/>
        <v>0</v>
      </c>
      <c r="F230" s="53"/>
      <c r="G230" s="24">
        <f t="shared" si="28"/>
        <v>0</v>
      </c>
      <c r="H230" s="15">
        <f>IF(G230&gt;0,0,IF(AND(H229=0,SUM(K230:L230)=0),0,IF(D230=0,PPMT(D$53/12,COUNTIF(D$63:D230,0),D$54,Primary_Loan_Amount),0)))</f>
        <v>0</v>
      </c>
      <c r="I230" s="103">
        <f>-SUM(Primary_Loan_Amount)-SUM(H$63:H230)</f>
        <v>-23217621.943162207</v>
      </c>
      <c r="J230" s="24">
        <f t="shared" si="29"/>
        <v>0</v>
      </c>
      <c r="K230" s="51">
        <f>IF(L230=1,0,IF(SUM(K$64:K229)&gt;=Construction_Timeline,0,1))</f>
        <v>0</v>
      </c>
      <c r="L230" s="13">
        <f t="shared" si="32"/>
        <v>0</v>
      </c>
      <c r="M230" s="54">
        <f t="shared" si="27"/>
        <v>51105</v>
      </c>
      <c r="N230" s="7"/>
      <c r="O230" s="12"/>
      <c r="P230" s="98"/>
      <c r="Q230" s="98"/>
      <c r="R230" s="98"/>
      <c r="S230" s="98"/>
      <c r="T230" s="3"/>
      <c r="U230" s="98"/>
      <c r="V230" s="98"/>
      <c r="W230" s="98"/>
      <c r="X230" s="98"/>
    </row>
    <row r="231" spans="2:24">
      <c r="B231" s="6"/>
      <c r="C231" s="7">
        <v>168</v>
      </c>
      <c r="D231" s="24">
        <f t="shared" si="30"/>
        <v>0</v>
      </c>
      <c r="E231" s="103">
        <f t="shared" si="31"/>
        <v>0</v>
      </c>
      <c r="F231" s="53"/>
      <c r="G231" s="24">
        <f t="shared" si="28"/>
        <v>0</v>
      </c>
      <c r="H231" s="15">
        <f>IF(G231&gt;0,0,IF(AND(H230=0,SUM(K231:L231)=0),0,IF(D231=0,PPMT(D$53/12,COUNTIF(D$63:D231,0),D$54,Primary_Loan_Amount),0)))</f>
        <v>0</v>
      </c>
      <c r="I231" s="103">
        <f>-SUM(Primary_Loan_Amount)-SUM(H$63:H231)</f>
        <v>-23217621.943162207</v>
      </c>
      <c r="J231" s="24">
        <f t="shared" si="29"/>
        <v>0</v>
      </c>
      <c r="K231" s="51">
        <f>IF(L231=1,0,IF(SUM(K$64:K230)&gt;=Construction_Timeline,0,1))</f>
        <v>0</v>
      </c>
      <c r="L231" s="13">
        <f t="shared" si="32"/>
        <v>0</v>
      </c>
      <c r="M231" s="54">
        <f t="shared" si="27"/>
        <v>51136</v>
      </c>
      <c r="N231" s="7"/>
      <c r="O231" s="12"/>
      <c r="P231" s="98"/>
      <c r="Q231" s="98"/>
      <c r="R231" s="98"/>
      <c r="S231" s="98"/>
      <c r="T231" s="3"/>
      <c r="U231" s="98"/>
      <c r="V231" s="98"/>
      <c r="W231" s="98"/>
      <c r="X231" s="98"/>
    </row>
    <row r="232" spans="2:24">
      <c r="B232" s="6"/>
      <c r="C232" s="7">
        <v>169</v>
      </c>
      <c r="D232" s="24">
        <f t="shared" si="30"/>
        <v>0</v>
      </c>
      <c r="E232" s="103">
        <f t="shared" si="31"/>
        <v>0</v>
      </c>
      <c r="F232" s="53"/>
      <c r="G232" s="24">
        <f t="shared" si="28"/>
        <v>0</v>
      </c>
      <c r="H232" s="15">
        <f>IF(G232&gt;0,0,IF(AND(H231=0,SUM(K232:L232)=0),0,IF(D232=0,PPMT(D$53/12,COUNTIF(D$63:D232,0),D$54,Primary_Loan_Amount),0)))</f>
        <v>0</v>
      </c>
      <c r="I232" s="103">
        <f>-SUM(Primary_Loan_Amount)-SUM(H$63:H232)</f>
        <v>-23217621.943162207</v>
      </c>
      <c r="J232" s="24">
        <f t="shared" si="29"/>
        <v>0</v>
      </c>
      <c r="K232" s="51">
        <f>IF(L232=1,0,IF(SUM(K$64:K231)&gt;=Construction_Timeline,0,1))</f>
        <v>0</v>
      </c>
      <c r="L232" s="13">
        <f t="shared" si="32"/>
        <v>0</v>
      </c>
      <c r="M232" s="54">
        <f t="shared" si="27"/>
        <v>51167</v>
      </c>
      <c r="N232" s="7"/>
      <c r="O232" s="12"/>
      <c r="P232" s="98"/>
      <c r="Q232" s="98"/>
      <c r="R232" s="98"/>
      <c r="S232" s="98"/>
      <c r="T232" s="3"/>
      <c r="U232" s="98"/>
      <c r="V232" s="98"/>
      <c r="W232" s="98"/>
      <c r="X232" s="98"/>
    </row>
    <row r="233" spans="2:24">
      <c r="B233" s="6"/>
      <c r="C233" s="7">
        <v>170</v>
      </c>
      <c r="D233" s="24">
        <f t="shared" si="30"/>
        <v>0</v>
      </c>
      <c r="E233" s="103">
        <f t="shared" si="31"/>
        <v>0</v>
      </c>
      <c r="F233" s="53"/>
      <c r="G233" s="24">
        <f t="shared" si="28"/>
        <v>0</v>
      </c>
      <c r="H233" s="15">
        <f>IF(G233&gt;0,0,IF(AND(H232=0,SUM(K233:L233)=0),0,IF(D233=0,PPMT(D$53/12,COUNTIF(D$63:D233,0),D$54,Primary_Loan_Amount),0)))</f>
        <v>0</v>
      </c>
      <c r="I233" s="103">
        <f>-SUM(Primary_Loan_Amount)-SUM(H$63:H233)</f>
        <v>-23217621.943162207</v>
      </c>
      <c r="J233" s="24">
        <f t="shared" si="29"/>
        <v>0</v>
      </c>
      <c r="K233" s="51">
        <f>IF(L233=1,0,IF(SUM(K$64:K232)&gt;=Construction_Timeline,0,1))</f>
        <v>0</v>
      </c>
      <c r="L233" s="13">
        <f t="shared" si="32"/>
        <v>0</v>
      </c>
      <c r="M233" s="54">
        <f t="shared" si="27"/>
        <v>51196</v>
      </c>
      <c r="N233" s="7"/>
      <c r="O233" s="12"/>
      <c r="P233" s="98"/>
      <c r="Q233" s="98"/>
      <c r="R233" s="98"/>
      <c r="S233" s="98"/>
      <c r="T233" s="3"/>
      <c r="U233" s="98"/>
      <c r="V233" s="98"/>
      <c r="W233" s="98"/>
      <c r="X233" s="98"/>
    </row>
    <row r="234" spans="2:24">
      <c r="B234" s="6"/>
      <c r="C234" s="7">
        <v>171</v>
      </c>
      <c r="D234" s="24">
        <f t="shared" si="30"/>
        <v>0</v>
      </c>
      <c r="E234" s="103">
        <f t="shared" si="31"/>
        <v>0</v>
      </c>
      <c r="F234" s="53"/>
      <c r="G234" s="24">
        <f t="shared" si="28"/>
        <v>0</v>
      </c>
      <c r="H234" s="15">
        <f>IF(G234&gt;0,0,IF(AND(H233=0,SUM(K234:L234)=0),0,IF(D234=0,PPMT(D$53/12,COUNTIF(D$63:D234,0),D$54,Primary_Loan_Amount),0)))</f>
        <v>0</v>
      </c>
      <c r="I234" s="103">
        <f>-SUM(Primary_Loan_Amount)-SUM(H$63:H234)</f>
        <v>-23217621.943162207</v>
      </c>
      <c r="J234" s="24">
        <f t="shared" si="29"/>
        <v>0</v>
      </c>
      <c r="K234" s="51">
        <f>IF(L234=1,0,IF(SUM(K$64:K233)&gt;=Construction_Timeline,0,1))</f>
        <v>0</v>
      </c>
      <c r="L234" s="13">
        <f t="shared" si="32"/>
        <v>0</v>
      </c>
      <c r="M234" s="54">
        <f t="shared" si="27"/>
        <v>51227</v>
      </c>
      <c r="N234" s="7"/>
      <c r="O234" s="12"/>
      <c r="P234" s="98"/>
      <c r="Q234" s="98"/>
      <c r="R234" s="98"/>
      <c r="S234" s="98"/>
      <c r="T234" s="3"/>
      <c r="U234" s="98"/>
      <c r="V234" s="98"/>
      <c r="W234" s="98"/>
      <c r="X234" s="98"/>
    </row>
    <row r="235" spans="2:24">
      <c r="B235" s="6"/>
      <c r="C235" s="7">
        <v>172</v>
      </c>
      <c r="D235" s="24">
        <f t="shared" si="30"/>
        <v>0</v>
      </c>
      <c r="E235" s="103">
        <f t="shared" si="31"/>
        <v>0</v>
      </c>
      <c r="F235" s="53"/>
      <c r="G235" s="24">
        <f t="shared" si="28"/>
        <v>0</v>
      </c>
      <c r="H235" s="15">
        <f>IF(G235&gt;0,0,IF(AND(H234=0,SUM(K235:L235)=0),0,IF(D235=0,PPMT(D$53/12,COUNTIF(D$63:D235,0),D$54,Primary_Loan_Amount),0)))</f>
        <v>0</v>
      </c>
      <c r="I235" s="103">
        <f>-SUM(Primary_Loan_Amount)-SUM(H$63:H235)</f>
        <v>-23217621.943162207</v>
      </c>
      <c r="J235" s="24">
        <f t="shared" si="29"/>
        <v>0</v>
      </c>
      <c r="K235" s="51">
        <f>IF(L235=1,0,IF(SUM(K$64:K234)&gt;=Construction_Timeline,0,1))</f>
        <v>0</v>
      </c>
      <c r="L235" s="13">
        <f t="shared" si="32"/>
        <v>0</v>
      </c>
      <c r="M235" s="54">
        <f t="shared" si="27"/>
        <v>51257</v>
      </c>
      <c r="N235" s="7"/>
      <c r="O235" s="12"/>
      <c r="P235" s="98"/>
      <c r="Q235" s="98"/>
      <c r="R235" s="98"/>
      <c r="S235" s="98"/>
      <c r="T235" s="3"/>
      <c r="U235" s="98"/>
      <c r="V235" s="98"/>
      <c r="W235" s="98"/>
      <c r="X235" s="98"/>
    </row>
    <row r="236" spans="2:24">
      <c r="B236" s="6"/>
      <c r="C236" s="7">
        <v>173</v>
      </c>
      <c r="D236" s="24">
        <f t="shared" si="30"/>
        <v>0</v>
      </c>
      <c r="E236" s="103">
        <f t="shared" si="31"/>
        <v>0</v>
      </c>
      <c r="F236" s="53"/>
      <c r="G236" s="24">
        <f t="shared" si="28"/>
        <v>0</v>
      </c>
      <c r="H236" s="15">
        <f>IF(G236&gt;0,0,IF(AND(H235=0,SUM(K236:L236)=0),0,IF(D236=0,PPMT(D$53/12,COUNTIF(D$63:D236,0),D$54,Primary_Loan_Amount),0)))</f>
        <v>0</v>
      </c>
      <c r="I236" s="103">
        <f>-SUM(Primary_Loan_Amount)-SUM(H$63:H236)</f>
        <v>-23217621.943162207</v>
      </c>
      <c r="J236" s="24">
        <f t="shared" si="29"/>
        <v>0</v>
      </c>
      <c r="K236" s="51">
        <f>IF(L236=1,0,IF(SUM(K$64:K235)&gt;=Construction_Timeline,0,1))</f>
        <v>0</v>
      </c>
      <c r="L236" s="13">
        <f t="shared" si="32"/>
        <v>0</v>
      </c>
      <c r="M236" s="54">
        <f t="shared" si="27"/>
        <v>51288</v>
      </c>
      <c r="N236" s="7"/>
      <c r="O236" s="12"/>
      <c r="P236" s="98"/>
      <c r="Q236" s="98"/>
      <c r="R236" s="98"/>
      <c r="S236" s="98"/>
      <c r="T236" s="3"/>
      <c r="U236" s="98"/>
      <c r="V236" s="98"/>
      <c r="W236" s="98"/>
      <c r="X236" s="98"/>
    </row>
    <row r="237" spans="2:24">
      <c r="B237" s="6"/>
      <c r="C237" s="7">
        <v>174</v>
      </c>
      <c r="D237" s="24">
        <f t="shared" si="30"/>
        <v>0</v>
      </c>
      <c r="E237" s="103">
        <f t="shared" si="31"/>
        <v>0</v>
      </c>
      <c r="F237" s="53"/>
      <c r="G237" s="24">
        <f t="shared" si="28"/>
        <v>0</v>
      </c>
      <c r="H237" s="15">
        <f>IF(G237&gt;0,0,IF(AND(H236=0,SUM(K237:L237)=0),0,IF(D237=0,PPMT(D$53/12,COUNTIF(D$63:D237,0),D$54,Primary_Loan_Amount),0)))</f>
        <v>0</v>
      </c>
      <c r="I237" s="103">
        <f>-SUM(Primary_Loan_Amount)-SUM(H$63:H237)</f>
        <v>-23217621.943162207</v>
      </c>
      <c r="J237" s="24">
        <f t="shared" si="29"/>
        <v>0</v>
      </c>
      <c r="K237" s="51">
        <f>IF(L237=1,0,IF(SUM(K$64:K236)&gt;=Construction_Timeline,0,1))</f>
        <v>0</v>
      </c>
      <c r="L237" s="13">
        <f t="shared" si="32"/>
        <v>0</v>
      </c>
      <c r="M237" s="54">
        <f t="shared" si="27"/>
        <v>51318</v>
      </c>
      <c r="N237" s="7"/>
      <c r="O237" s="12"/>
      <c r="P237" s="98"/>
      <c r="Q237" s="98"/>
      <c r="R237" s="98"/>
      <c r="S237" s="98"/>
      <c r="T237" s="3"/>
      <c r="U237" s="98"/>
      <c r="V237" s="98"/>
      <c r="W237" s="98"/>
      <c r="X237" s="98"/>
    </row>
    <row r="238" spans="2:24">
      <c r="B238" s="6"/>
      <c r="C238" s="7">
        <v>175</v>
      </c>
      <c r="D238" s="24">
        <f t="shared" si="30"/>
        <v>0</v>
      </c>
      <c r="E238" s="103">
        <f t="shared" si="31"/>
        <v>0</v>
      </c>
      <c r="F238" s="53"/>
      <c r="G238" s="24">
        <f t="shared" si="28"/>
        <v>0</v>
      </c>
      <c r="H238" s="15">
        <f>IF(G238&gt;0,0,IF(AND(H237=0,SUM(K238:L238)=0),0,IF(D238=0,PPMT(D$53/12,COUNTIF(D$63:D238,0),D$54,Primary_Loan_Amount),0)))</f>
        <v>0</v>
      </c>
      <c r="I238" s="103">
        <f>-SUM(Primary_Loan_Amount)-SUM(H$63:H238)</f>
        <v>-23217621.943162207</v>
      </c>
      <c r="J238" s="24">
        <f t="shared" si="29"/>
        <v>0</v>
      </c>
      <c r="K238" s="51">
        <f>IF(L238=1,0,IF(SUM(K$64:K237)&gt;=Construction_Timeline,0,1))</f>
        <v>0</v>
      </c>
      <c r="L238" s="13">
        <f t="shared" si="32"/>
        <v>0</v>
      </c>
      <c r="M238" s="54">
        <f t="shared" si="27"/>
        <v>51349</v>
      </c>
      <c r="N238" s="7"/>
      <c r="O238" s="12"/>
      <c r="P238" s="98"/>
      <c r="Q238" s="98"/>
      <c r="R238" s="98"/>
      <c r="S238" s="98"/>
      <c r="T238" s="3"/>
      <c r="U238" s="98"/>
      <c r="V238" s="98"/>
      <c r="W238" s="98"/>
      <c r="X238" s="98"/>
    </row>
    <row r="239" spans="2:24">
      <c r="B239" s="6"/>
      <c r="C239" s="7">
        <v>176</v>
      </c>
      <c r="D239" s="24">
        <f t="shared" si="30"/>
        <v>0</v>
      </c>
      <c r="E239" s="103">
        <f t="shared" si="31"/>
        <v>0</v>
      </c>
      <c r="F239" s="53"/>
      <c r="G239" s="24">
        <f t="shared" si="28"/>
        <v>0</v>
      </c>
      <c r="H239" s="15">
        <f>IF(G239&gt;0,0,IF(AND(H238=0,SUM(K239:L239)=0),0,IF(D239=0,PPMT(D$53/12,COUNTIF(D$63:D239,0),D$54,Primary_Loan_Amount),0)))</f>
        <v>0</v>
      </c>
      <c r="I239" s="103">
        <f>-SUM(Primary_Loan_Amount)-SUM(H$63:H239)</f>
        <v>-23217621.943162207</v>
      </c>
      <c r="J239" s="24">
        <f t="shared" si="29"/>
        <v>0</v>
      </c>
      <c r="K239" s="51">
        <f>IF(L239=1,0,IF(SUM(K$64:K238)&gt;=Construction_Timeline,0,1))</f>
        <v>0</v>
      </c>
      <c r="L239" s="13">
        <f t="shared" si="32"/>
        <v>0</v>
      </c>
      <c r="M239" s="54">
        <f t="shared" si="27"/>
        <v>51380</v>
      </c>
      <c r="N239" s="7"/>
      <c r="O239" s="12"/>
      <c r="P239" s="98"/>
      <c r="Q239" s="98"/>
      <c r="R239" s="98"/>
      <c r="S239" s="98"/>
      <c r="T239" s="3"/>
      <c r="U239" s="98"/>
      <c r="V239" s="98"/>
      <c r="W239" s="98"/>
      <c r="X239" s="98"/>
    </row>
    <row r="240" spans="2:24">
      <c r="B240" s="6"/>
      <c r="C240" s="7">
        <v>177</v>
      </c>
      <c r="D240" s="24">
        <f t="shared" si="30"/>
        <v>0</v>
      </c>
      <c r="E240" s="103">
        <f t="shared" si="31"/>
        <v>0</v>
      </c>
      <c r="F240" s="53"/>
      <c r="G240" s="24">
        <f t="shared" si="28"/>
        <v>0</v>
      </c>
      <c r="H240" s="15">
        <f>IF(G240&gt;0,0,IF(AND(H239=0,SUM(K240:L240)=0),0,IF(D240=0,PPMT(D$53/12,COUNTIF(D$63:D240,0),D$54,Primary_Loan_Amount),0)))</f>
        <v>0</v>
      </c>
      <c r="I240" s="103">
        <f>-SUM(Primary_Loan_Amount)-SUM(H$63:H240)</f>
        <v>-23217621.943162207</v>
      </c>
      <c r="J240" s="24">
        <f t="shared" si="29"/>
        <v>0</v>
      </c>
      <c r="K240" s="51">
        <f>IF(L240=1,0,IF(SUM(K$64:K239)&gt;=Construction_Timeline,0,1))</f>
        <v>0</v>
      </c>
      <c r="L240" s="13">
        <f t="shared" si="32"/>
        <v>0</v>
      </c>
      <c r="M240" s="54">
        <f t="shared" si="27"/>
        <v>51410</v>
      </c>
      <c r="N240" s="7"/>
      <c r="O240" s="12"/>
      <c r="P240" s="98"/>
      <c r="Q240" s="98"/>
      <c r="R240" s="98"/>
      <c r="S240" s="98"/>
      <c r="T240" s="3"/>
      <c r="U240" s="98"/>
      <c r="V240" s="98"/>
      <c r="W240" s="98"/>
      <c r="X240" s="98"/>
    </row>
    <row r="241" spans="1:24">
      <c r="B241" s="6"/>
      <c r="C241" s="7">
        <v>178</v>
      </c>
      <c r="D241" s="24">
        <f t="shared" si="30"/>
        <v>0</v>
      </c>
      <c r="E241" s="103">
        <f t="shared" si="31"/>
        <v>0</v>
      </c>
      <c r="F241" s="53"/>
      <c r="G241" s="24">
        <f t="shared" si="28"/>
        <v>0</v>
      </c>
      <c r="H241" s="15">
        <f>IF(G241&gt;0,0,IF(AND(H240=0,SUM(K241:L241)=0),0,IF(D241=0,PPMT(D$53/12,COUNTIF(D$63:D241,0),D$54,Primary_Loan_Amount),0)))</f>
        <v>0</v>
      </c>
      <c r="I241" s="103">
        <f>-SUM(Primary_Loan_Amount)-SUM(H$63:H241)</f>
        <v>-23217621.943162207</v>
      </c>
      <c r="J241" s="24">
        <f t="shared" si="29"/>
        <v>0</v>
      </c>
      <c r="K241" s="51">
        <f>IF(L241=1,0,IF(SUM(K$64:K240)&gt;=Construction_Timeline,0,1))</f>
        <v>0</v>
      </c>
      <c r="L241" s="13">
        <f t="shared" si="32"/>
        <v>0</v>
      </c>
      <c r="M241" s="54">
        <f t="shared" si="27"/>
        <v>51441</v>
      </c>
      <c r="N241" s="7"/>
      <c r="O241" s="12"/>
      <c r="P241" s="98"/>
      <c r="Q241" s="98"/>
      <c r="R241" s="98"/>
      <c r="S241" s="98"/>
      <c r="T241" s="3"/>
      <c r="U241" s="98"/>
      <c r="V241" s="98"/>
      <c r="W241" s="98"/>
      <c r="X241" s="98"/>
    </row>
    <row r="242" spans="1:24">
      <c r="B242" s="6"/>
      <c r="C242" s="7">
        <v>179</v>
      </c>
      <c r="D242" s="24">
        <f t="shared" si="30"/>
        <v>0</v>
      </c>
      <c r="E242" s="103">
        <f t="shared" si="31"/>
        <v>0</v>
      </c>
      <c r="F242" s="53"/>
      <c r="G242" s="24">
        <f t="shared" si="28"/>
        <v>0</v>
      </c>
      <c r="H242" s="15">
        <f>IF(G242&gt;0,0,IF(AND(H241=0,SUM(K242:L242)=0),0,IF(D242=0,PPMT(D$53/12,COUNTIF(D$63:D242,0),D$54,Primary_Loan_Amount),0)))</f>
        <v>0</v>
      </c>
      <c r="I242" s="103">
        <f>-SUM(Primary_Loan_Amount)-SUM(H$63:H242)</f>
        <v>-23217621.943162207</v>
      </c>
      <c r="J242" s="24">
        <f t="shared" si="29"/>
        <v>0</v>
      </c>
      <c r="K242" s="51">
        <f>IF(L242=1,0,IF(SUM(K$64:K241)&gt;=Construction_Timeline,0,1))</f>
        <v>0</v>
      </c>
      <c r="L242" s="13">
        <f t="shared" si="32"/>
        <v>0</v>
      </c>
      <c r="M242" s="54">
        <f t="shared" si="27"/>
        <v>51471</v>
      </c>
      <c r="N242" s="7"/>
      <c r="O242" s="12"/>
      <c r="P242" s="98"/>
      <c r="Q242" s="98"/>
      <c r="R242" s="98"/>
      <c r="S242" s="98"/>
      <c r="T242" s="3"/>
      <c r="U242" s="98"/>
      <c r="V242" s="98"/>
      <c r="W242" s="98"/>
      <c r="X242" s="98"/>
    </row>
    <row r="243" spans="1:24">
      <c r="B243" s="6"/>
      <c r="C243" s="7">
        <v>180</v>
      </c>
      <c r="D243" s="24">
        <f t="shared" si="30"/>
        <v>0</v>
      </c>
      <c r="E243" s="103">
        <f t="shared" si="31"/>
        <v>0</v>
      </c>
      <c r="F243" s="53"/>
      <c r="G243" s="24">
        <f t="shared" si="28"/>
        <v>0</v>
      </c>
      <c r="H243" s="15">
        <f>IF(G243&gt;0,0,IF(AND(H242=0,SUM(K243:L243)=0),0,IF(D243=0,PPMT(D$53/12,COUNTIF(D$63:D243,0),D$54,Primary_Loan_Amount),0)))</f>
        <v>0</v>
      </c>
      <c r="I243" s="103">
        <f>-SUM(Primary_Loan_Amount)-SUM(H$63:H243)</f>
        <v>-23217621.943162207</v>
      </c>
      <c r="J243" s="24">
        <f t="shared" si="29"/>
        <v>0</v>
      </c>
      <c r="K243" s="51">
        <f>IF(L243=1,0,IF(SUM(K$68:K242)&gt;=Construction_Timeline,0,1))</f>
        <v>0</v>
      </c>
      <c r="L243" s="13">
        <f t="shared" si="32"/>
        <v>0</v>
      </c>
      <c r="M243" s="54">
        <f t="shared" si="27"/>
        <v>51502</v>
      </c>
      <c r="N243" s="7"/>
      <c r="O243" s="12"/>
      <c r="P243" s="98"/>
      <c r="Q243" s="98"/>
      <c r="R243" s="98"/>
      <c r="S243" s="98"/>
      <c r="T243" s="3"/>
      <c r="U243" s="98"/>
      <c r="V243" s="98"/>
      <c r="W243" s="98"/>
      <c r="X243" s="98"/>
    </row>
    <row r="244" spans="1:24">
      <c r="B244" s="6"/>
      <c r="C244" s="7"/>
      <c r="D244" s="7"/>
      <c r="E244" s="7"/>
      <c r="F244" s="7"/>
      <c r="G244" s="7"/>
      <c r="H244" s="7"/>
      <c r="I244" s="7"/>
      <c r="J244" s="7"/>
      <c r="K244" s="7"/>
      <c r="L244" s="7"/>
      <c r="M244" s="73"/>
      <c r="N244" s="7"/>
      <c r="O244" s="12"/>
      <c r="P244" s="3"/>
      <c r="Q244" s="3"/>
      <c r="R244" s="3"/>
      <c r="S244" s="3"/>
      <c r="T244" s="3"/>
      <c r="U244" s="3"/>
      <c r="V244" s="3"/>
    </row>
    <row r="245" spans="1:24" ht="15.6">
      <c r="B245" s="6"/>
      <c r="C245" s="41" t="s">
        <v>127</v>
      </c>
      <c r="D245" s="39"/>
      <c r="E245" s="39"/>
      <c r="F245" s="39"/>
      <c r="G245" s="39"/>
      <c r="H245" s="39"/>
      <c r="I245" s="39"/>
      <c r="J245" s="39"/>
      <c r="K245" s="97" t="s">
        <v>87</v>
      </c>
      <c r="L245" s="7"/>
      <c r="M245" s="73"/>
      <c r="N245" s="7"/>
      <c r="O245" s="102"/>
      <c r="P245" s="3"/>
      <c r="Q245" s="3"/>
      <c r="R245" s="3"/>
      <c r="S245" s="3"/>
      <c r="T245" s="3"/>
      <c r="U245" s="3"/>
      <c r="V245" s="3"/>
    </row>
    <row r="246" spans="1:24">
      <c r="B246" s="6"/>
      <c r="C246" s="7"/>
      <c r="D246" s="101">
        <f>SUM(D248:D428)</f>
        <v>-30000000.000000007</v>
      </c>
      <c r="E246" s="101">
        <f>SUM(E248:E428)</f>
        <v>-5999999.9999999935</v>
      </c>
      <c r="F246" s="13"/>
      <c r="G246" s="101">
        <f>SUM(G248:G428)</f>
        <v>43650000</v>
      </c>
      <c r="H246" s="101">
        <f>SUM(H248:H428)</f>
        <v>0</v>
      </c>
      <c r="I246" s="101">
        <f>-Construction_Costs-H246</f>
        <v>-30000000</v>
      </c>
      <c r="J246" s="101">
        <f>SUM(J248:J428)</f>
        <v>7650000</v>
      </c>
      <c r="K246" s="13"/>
      <c r="L246" s="7"/>
      <c r="M246" s="73"/>
      <c r="N246" s="7"/>
      <c r="O246" s="12"/>
      <c r="P246" s="3"/>
      <c r="Q246" s="3"/>
      <c r="R246" s="3"/>
      <c r="S246" s="3"/>
      <c r="T246" s="3"/>
      <c r="U246" s="3"/>
      <c r="V246" s="3"/>
    </row>
    <row r="247" spans="1:24">
      <c r="B247" s="6"/>
      <c r="C247" s="7" t="s">
        <v>32</v>
      </c>
      <c r="D247" s="13" t="s">
        <v>33</v>
      </c>
      <c r="E247" s="13" t="s">
        <v>34</v>
      </c>
      <c r="F247" s="9" t="s">
        <v>39</v>
      </c>
      <c r="G247" s="7" t="s">
        <v>21</v>
      </c>
      <c r="H247" s="7" t="s">
        <v>75</v>
      </c>
      <c r="I247" s="7"/>
      <c r="J247" s="7" t="s">
        <v>22</v>
      </c>
      <c r="K247" s="13" t="s">
        <v>35</v>
      </c>
      <c r="L247" s="13" t="s">
        <v>36</v>
      </c>
      <c r="M247" s="73"/>
      <c r="N247" s="7"/>
      <c r="O247" s="12"/>
      <c r="P247" s="3"/>
      <c r="Q247" s="3"/>
      <c r="R247" s="3"/>
      <c r="S247" s="3"/>
      <c r="T247" s="3"/>
      <c r="U247" s="3"/>
      <c r="V247" s="3"/>
    </row>
    <row r="248" spans="1:24">
      <c r="B248" s="6"/>
      <c r="C248" s="7">
        <v>0</v>
      </c>
      <c r="D248" s="24">
        <f t="shared" ref="D248:D279" si="33">IF(K248=1,-Construction_Costs/Construction_Timeline,0)</f>
        <v>0</v>
      </c>
      <c r="E248" s="103">
        <f>-Land_Costs</f>
        <v>-4000000</v>
      </c>
      <c r="F248" s="53"/>
      <c r="G248" s="24">
        <f t="shared" ref="G248:G279" si="34">IF(C248=SUM(Month_of_Sale,PreDev_Timeline,Construction_Timeline),Sale_Price*(1-D$44),0)</f>
        <v>0</v>
      </c>
      <c r="H248" s="15"/>
      <c r="I248" s="15"/>
      <c r="J248" s="24">
        <f>SUM(D248:G248)</f>
        <v>-4000000</v>
      </c>
      <c r="K248" s="51">
        <v>0</v>
      </c>
      <c r="L248" s="13">
        <v>0</v>
      </c>
      <c r="M248" s="72">
        <v>46023</v>
      </c>
      <c r="N248" s="7"/>
      <c r="O248" s="12"/>
    </row>
    <row r="249" spans="1:24" customFormat="1">
      <c r="A249" s="3"/>
      <c r="B249" s="6"/>
      <c r="C249" s="7">
        <v>1</v>
      </c>
      <c r="D249" s="24">
        <f t="shared" si="33"/>
        <v>0</v>
      </c>
      <c r="E249" s="103">
        <f t="shared" ref="E249:E280" si="35">-Pre_Development_Costs/PreDev_Timeline*L249</f>
        <v>-83333.333333333328</v>
      </c>
      <c r="F249" s="53"/>
      <c r="G249" s="24">
        <f t="shared" si="34"/>
        <v>0</v>
      </c>
      <c r="H249" s="15"/>
      <c r="I249" s="15"/>
      <c r="J249" s="24">
        <f t="shared" ref="J249:J312" si="36">SUM(D249:G249)</f>
        <v>-83333.333333333328</v>
      </c>
      <c r="K249" s="51">
        <f>IF(L249=1,0,IF(SUM(K248:K$253)&gt;=Construction_Timeline,0,1))</f>
        <v>0</v>
      </c>
      <c r="L249" s="13">
        <f t="shared" ref="L249:L280" si="37">IF(C249&lt;=PreDev_Timeline,1,0)</f>
        <v>1</v>
      </c>
      <c r="M249" s="54">
        <f>EDATE(M248,1)</f>
        <v>46054</v>
      </c>
      <c r="N249" s="7"/>
      <c r="O249" s="12"/>
      <c r="Q249" s="65"/>
      <c r="W249" s="3"/>
      <c r="X249" s="3"/>
    </row>
    <row r="250" spans="1:24" customFormat="1">
      <c r="A250" s="3"/>
      <c r="B250" s="6"/>
      <c r="C250" s="7">
        <v>2</v>
      </c>
      <c r="D250" s="24">
        <f t="shared" si="33"/>
        <v>0</v>
      </c>
      <c r="E250" s="103">
        <f t="shared" si="35"/>
        <v>-83333.333333333328</v>
      </c>
      <c r="F250" s="53"/>
      <c r="G250" s="24">
        <f t="shared" si="34"/>
        <v>0</v>
      </c>
      <c r="H250" s="15"/>
      <c r="I250" s="15"/>
      <c r="J250" s="24">
        <f t="shared" si="36"/>
        <v>-83333.333333333328</v>
      </c>
      <c r="K250" s="51">
        <f>IF(L250=1,0,IF(SUM(K249:K$253)&gt;=Construction_Timeline,0,1))</f>
        <v>0</v>
      </c>
      <c r="L250" s="13">
        <f t="shared" si="37"/>
        <v>1</v>
      </c>
      <c r="M250" s="54">
        <f t="shared" ref="M250:M313" si="38">EDATE(M249,1)</f>
        <v>46082</v>
      </c>
      <c r="N250" s="7"/>
      <c r="O250" s="12"/>
      <c r="Q250" s="65"/>
      <c r="W250" s="3"/>
      <c r="X250" s="3"/>
    </row>
    <row r="251" spans="1:24" customFormat="1">
      <c r="A251" s="3"/>
      <c r="B251" s="6"/>
      <c r="C251" s="7">
        <v>3</v>
      </c>
      <c r="D251" s="24">
        <f t="shared" si="33"/>
        <v>0</v>
      </c>
      <c r="E251" s="103">
        <f t="shared" si="35"/>
        <v>-83333.333333333328</v>
      </c>
      <c r="F251" s="53"/>
      <c r="G251" s="24">
        <f t="shared" si="34"/>
        <v>0</v>
      </c>
      <c r="H251" s="15"/>
      <c r="I251" s="15"/>
      <c r="J251" s="24">
        <f t="shared" si="36"/>
        <v>-83333.333333333328</v>
      </c>
      <c r="K251" s="51">
        <f>IF(L251=1,0,IF(SUM(K250:K$253)&gt;=Construction_Timeline,0,1))</f>
        <v>0</v>
      </c>
      <c r="L251" s="13">
        <f t="shared" si="37"/>
        <v>1</v>
      </c>
      <c r="M251" s="54">
        <f t="shared" si="38"/>
        <v>46113</v>
      </c>
      <c r="N251" s="7"/>
      <c r="O251" s="12"/>
      <c r="Q251" s="65"/>
      <c r="W251" s="3"/>
      <c r="X251" s="3"/>
    </row>
    <row r="252" spans="1:24" customFormat="1">
      <c r="A252" s="3"/>
      <c r="B252" s="6"/>
      <c r="C252" s="7">
        <v>4</v>
      </c>
      <c r="D252" s="24">
        <f t="shared" si="33"/>
        <v>0</v>
      </c>
      <c r="E252" s="103">
        <f t="shared" si="35"/>
        <v>-83333.333333333328</v>
      </c>
      <c r="F252" s="53"/>
      <c r="G252" s="24">
        <f t="shared" si="34"/>
        <v>0</v>
      </c>
      <c r="H252" s="15"/>
      <c r="I252" s="15"/>
      <c r="J252" s="24">
        <f t="shared" si="36"/>
        <v>-83333.333333333328</v>
      </c>
      <c r="K252" s="51">
        <f>IF(L252=1,0,IF(SUM(K251:K$253)&gt;=Construction_Timeline,0,1))</f>
        <v>0</v>
      </c>
      <c r="L252" s="13">
        <f t="shared" si="37"/>
        <v>1</v>
      </c>
      <c r="M252" s="54">
        <f t="shared" si="38"/>
        <v>46143</v>
      </c>
      <c r="N252" s="7"/>
      <c r="O252" s="12"/>
      <c r="Q252" s="65"/>
      <c r="W252" s="3"/>
      <c r="X252" s="3"/>
    </row>
    <row r="253" spans="1:24" customFormat="1">
      <c r="A253" s="3"/>
      <c r="B253" s="6"/>
      <c r="C253" s="7">
        <v>5</v>
      </c>
      <c r="D253" s="24">
        <f t="shared" si="33"/>
        <v>0</v>
      </c>
      <c r="E253" s="103">
        <f t="shared" si="35"/>
        <v>-83333.333333333328</v>
      </c>
      <c r="F253" s="53"/>
      <c r="G253" s="24">
        <f t="shared" si="34"/>
        <v>0</v>
      </c>
      <c r="H253" s="15"/>
      <c r="I253" s="15"/>
      <c r="J253" s="24">
        <f t="shared" si="36"/>
        <v>-83333.333333333328</v>
      </c>
      <c r="K253" s="51">
        <f>IF(L253=1,0,IF(SUM(K252:K$253)&gt;=Construction_Timeline,0,1))</f>
        <v>0</v>
      </c>
      <c r="L253" s="13">
        <f t="shared" si="37"/>
        <v>1</v>
      </c>
      <c r="M253" s="54">
        <f t="shared" si="38"/>
        <v>46174</v>
      </c>
      <c r="N253" s="7"/>
      <c r="O253" s="12"/>
      <c r="Q253" s="65"/>
      <c r="W253" s="3"/>
      <c r="X253" s="3"/>
    </row>
    <row r="254" spans="1:24" customFormat="1">
      <c r="A254" s="3"/>
      <c r="B254" s="6"/>
      <c r="C254" s="7">
        <v>6</v>
      </c>
      <c r="D254" s="24">
        <f t="shared" si="33"/>
        <v>0</v>
      </c>
      <c r="E254" s="103">
        <f t="shared" si="35"/>
        <v>-83333.333333333328</v>
      </c>
      <c r="F254" s="53"/>
      <c r="G254" s="24">
        <f t="shared" si="34"/>
        <v>0</v>
      </c>
      <c r="H254" s="15"/>
      <c r="I254" s="15"/>
      <c r="J254" s="24">
        <f t="shared" si="36"/>
        <v>-83333.333333333328</v>
      </c>
      <c r="K254" s="51">
        <f>IF(L254=1,0,IF(SUM(K$253:K253)&gt;=Construction_Timeline,0,1))</f>
        <v>0</v>
      </c>
      <c r="L254" s="13">
        <f t="shared" si="37"/>
        <v>1</v>
      </c>
      <c r="M254" s="54">
        <f t="shared" si="38"/>
        <v>46204</v>
      </c>
      <c r="N254" s="7"/>
      <c r="O254" s="12"/>
      <c r="Q254" s="65"/>
      <c r="W254" s="3"/>
      <c r="X254" s="3"/>
    </row>
    <row r="255" spans="1:24" customFormat="1">
      <c r="A255" s="3"/>
      <c r="B255" s="6"/>
      <c r="C255" s="7">
        <v>7</v>
      </c>
      <c r="D255" s="24">
        <f t="shared" si="33"/>
        <v>0</v>
      </c>
      <c r="E255" s="103">
        <f t="shared" si="35"/>
        <v>-83333.333333333328</v>
      </c>
      <c r="F255" s="53"/>
      <c r="G255" s="24">
        <f t="shared" si="34"/>
        <v>0</v>
      </c>
      <c r="H255" s="15"/>
      <c r="I255" s="15"/>
      <c r="J255" s="24">
        <f t="shared" si="36"/>
        <v>-83333.333333333328</v>
      </c>
      <c r="K255" s="51">
        <f>IF(L255=1,0,IF(SUM(K$253:K254)&gt;=Construction_Timeline,0,1))</f>
        <v>0</v>
      </c>
      <c r="L255" s="13">
        <f t="shared" si="37"/>
        <v>1</v>
      </c>
      <c r="M255" s="54">
        <f t="shared" si="38"/>
        <v>46235</v>
      </c>
      <c r="N255" s="7"/>
      <c r="O255" s="12"/>
      <c r="Q255" s="65"/>
      <c r="W255" s="3"/>
      <c r="X255" s="3"/>
    </row>
    <row r="256" spans="1:24" customFormat="1">
      <c r="A256" s="3"/>
      <c r="B256" s="6"/>
      <c r="C256" s="7">
        <v>8</v>
      </c>
      <c r="D256" s="24">
        <f t="shared" si="33"/>
        <v>0</v>
      </c>
      <c r="E256" s="103">
        <f t="shared" si="35"/>
        <v>-83333.333333333328</v>
      </c>
      <c r="F256" s="53"/>
      <c r="G256" s="24">
        <f t="shared" si="34"/>
        <v>0</v>
      </c>
      <c r="H256" s="15"/>
      <c r="I256" s="15"/>
      <c r="J256" s="24">
        <f t="shared" si="36"/>
        <v>-83333.333333333328</v>
      </c>
      <c r="K256" s="51">
        <f>IF(L256=1,0,IF(SUM(K$253:K255)&gt;=Construction_Timeline,0,1))</f>
        <v>0</v>
      </c>
      <c r="L256" s="13">
        <f t="shared" si="37"/>
        <v>1</v>
      </c>
      <c r="M256" s="54">
        <f t="shared" si="38"/>
        <v>46266</v>
      </c>
      <c r="N256" s="7"/>
      <c r="O256" s="12"/>
      <c r="Q256" s="65"/>
      <c r="W256" s="3"/>
      <c r="X256" s="3"/>
    </row>
    <row r="257" spans="1:24" customFormat="1">
      <c r="A257" s="3"/>
      <c r="B257" s="6"/>
      <c r="C257" s="7">
        <v>9</v>
      </c>
      <c r="D257" s="24">
        <f t="shared" si="33"/>
        <v>0</v>
      </c>
      <c r="E257" s="103">
        <f t="shared" si="35"/>
        <v>-83333.333333333328</v>
      </c>
      <c r="F257" s="53"/>
      <c r="G257" s="24">
        <f t="shared" si="34"/>
        <v>0</v>
      </c>
      <c r="H257" s="15"/>
      <c r="I257" s="15"/>
      <c r="J257" s="24">
        <f t="shared" si="36"/>
        <v>-83333.333333333328</v>
      </c>
      <c r="K257" s="51">
        <f>IF(L257=1,0,IF(SUM(K$253:K256)&gt;=Construction_Timeline,0,1))</f>
        <v>0</v>
      </c>
      <c r="L257" s="13">
        <f t="shared" si="37"/>
        <v>1</v>
      </c>
      <c r="M257" s="54">
        <f t="shared" si="38"/>
        <v>46296</v>
      </c>
      <c r="N257" s="7"/>
      <c r="O257" s="12"/>
      <c r="Q257" s="65"/>
      <c r="W257" s="3"/>
      <c r="X257" s="3"/>
    </row>
    <row r="258" spans="1:24" customFormat="1">
      <c r="A258" s="3"/>
      <c r="B258" s="6"/>
      <c r="C258" s="7">
        <v>10</v>
      </c>
      <c r="D258" s="24">
        <f t="shared" si="33"/>
        <v>0</v>
      </c>
      <c r="E258" s="103">
        <f t="shared" si="35"/>
        <v>-83333.333333333328</v>
      </c>
      <c r="F258" s="53"/>
      <c r="G258" s="24">
        <f t="shared" si="34"/>
        <v>0</v>
      </c>
      <c r="H258" s="15"/>
      <c r="I258" s="15"/>
      <c r="J258" s="24">
        <f t="shared" si="36"/>
        <v>-83333.333333333328</v>
      </c>
      <c r="K258" s="51">
        <f>IF(L258=1,0,IF(SUM(K$253:K257)&gt;=Construction_Timeline,0,1))</f>
        <v>0</v>
      </c>
      <c r="L258" s="13">
        <f t="shared" si="37"/>
        <v>1</v>
      </c>
      <c r="M258" s="54">
        <f t="shared" si="38"/>
        <v>46327</v>
      </c>
      <c r="N258" s="7"/>
      <c r="O258" s="12"/>
      <c r="Q258" s="65"/>
      <c r="W258" s="3"/>
      <c r="X258" s="3"/>
    </row>
    <row r="259" spans="1:24" customFormat="1">
      <c r="A259" s="3"/>
      <c r="B259" s="6"/>
      <c r="C259" s="7">
        <v>11</v>
      </c>
      <c r="D259" s="24">
        <f t="shared" si="33"/>
        <v>0</v>
      </c>
      <c r="E259" s="103">
        <f t="shared" si="35"/>
        <v>-83333.333333333328</v>
      </c>
      <c r="F259" s="53"/>
      <c r="G259" s="24">
        <f t="shared" si="34"/>
        <v>0</v>
      </c>
      <c r="H259" s="15"/>
      <c r="I259" s="15"/>
      <c r="J259" s="24">
        <f t="shared" si="36"/>
        <v>-83333.333333333328</v>
      </c>
      <c r="K259" s="51">
        <f>IF(L259=1,0,IF(SUM(K$253:K258)&gt;=Construction_Timeline,0,1))</f>
        <v>0</v>
      </c>
      <c r="L259" s="13">
        <f t="shared" si="37"/>
        <v>1</v>
      </c>
      <c r="M259" s="54">
        <f t="shared" si="38"/>
        <v>46357</v>
      </c>
      <c r="N259" s="7"/>
      <c r="O259" s="12"/>
      <c r="Q259" s="65"/>
      <c r="W259" s="3"/>
      <c r="X259" s="3"/>
    </row>
    <row r="260" spans="1:24" customFormat="1">
      <c r="A260" s="3"/>
      <c r="B260" s="6"/>
      <c r="C260" s="7">
        <v>12</v>
      </c>
      <c r="D260" s="24">
        <f t="shared" si="33"/>
        <v>0</v>
      </c>
      <c r="E260" s="103">
        <f t="shared" si="35"/>
        <v>-83333.333333333328</v>
      </c>
      <c r="F260" s="53"/>
      <c r="G260" s="24">
        <f t="shared" si="34"/>
        <v>0</v>
      </c>
      <c r="H260" s="15"/>
      <c r="I260" s="15"/>
      <c r="J260" s="24">
        <f t="shared" si="36"/>
        <v>-83333.333333333328</v>
      </c>
      <c r="K260" s="51">
        <f>IF(L260=1,0,IF(SUM(K$253:K259)&gt;=Construction_Timeline,0,1))</f>
        <v>0</v>
      </c>
      <c r="L260" s="13">
        <f t="shared" si="37"/>
        <v>1</v>
      </c>
      <c r="M260" s="54">
        <f t="shared" si="38"/>
        <v>46388</v>
      </c>
      <c r="N260" s="7"/>
      <c r="O260" s="12"/>
      <c r="Q260" s="65"/>
      <c r="W260" s="3"/>
      <c r="X260" s="3"/>
    </row>
    <row r="261" spans="1:24" customFormat="1">
      <c r="A261" s="3"/>
      <c r="B261" s="6"/>
      <c r="C261" s="7">
        <v>13</v>
      </c>
      <c r="D261" s="24">
        <f t="shared" si="33"/>
        <v>0</v>
      </c>
      <c r="E261" s="103">
        <f t="shared" si="35"/>
        <v>-83333.333333333328</v>
      </c>
      <c r="F261" s="53"/>
      <c r="G261" s="24">
        <f t="shared" si="34"/>
        <v>0</v>
      </c>
      <c r="H261" s="15"/>
      <c r="I261" s="15"/>
      <c r="J261" s="24">
        <f t="shared" si="36"/>
        <v>-83333.333333333328</v>
      </c>
      <c r="K261" s="51">
        <f>IF(L261=1,0,IF(SUM(K$253:K260)&gt;=Construction_Timeline,0,1))</f>
        <v>0</v>
      </c>
      <c r="L261" s="13">
        <f t="shared" si="37"/>
        <v>1</v>
      </c>
      <c r="M261" s="54">
        <f t="shared" si="38"/>
        <v>46419</v>
      </c>
      <c r="N261" s="7"/>
      <c r="O261" s="12"/>
      <c r="Q261" s="65"/>
      <c r="W261" s="3"/>
      <c r="X261" s="3"/>
    </row>
    <row r="262" spans="1:24" customFormat="1">
      <c r="A262" s="3"/>
      <c r="B262" s="6"/>
      <c r="C262" s="7">
        <v>14</v>
      </c>
      <c r="D262" s="24">
        <f t="shared" si="33"/>
        <v>0</v>
      </c>
      <c r="E262" s="103">
        <f t="shared" si="35"/>
        <v>-83333.333333333328</v>
      </c>
      <c r="F262" s="53"/>
      <c r="G262" s="24">
        <f t="shared" si="34"/>
        <v>0</v>
      </c>
      <c r="H262" s="15"/>
      <c r="I262" s="15"/>
      <c r="J262" s="24">
        <f t="shared" si="36"/>
        <v>-83333.333333333328</v>
      </c>
      <c r="K262" s="51">
        <f>IF(L262=1,0,IF(SUM(K$253:K261)&gt;=Construction_Timeline,0,1))</f>
        <v>0</v>
      </c>
      <c r="L262" s="13">
        <f t="shared" si="37"/>
        <v>1</v>
      </c>
      <c r="M262" s="54">
        <f t="shared" si="38"/>
        <v>46447</v>
      </c>
      <c r="N262" s="7"/>
      <c r="O262" s="12"/>
      <c r="Q262" s="65"/>
      <c r="W262" s="3"/>
      <c r="X262" s="3"/>
    </row>
    <row r="263" spans="1:24" customFormat="1">
      <c r="A263" s="3"/>
      <c r="B263" s="6"/>
      <c r="C263" s="7">
        <v>15</v>
      </c>
      <c r="D263" s="24">
        <f t="shared" si="33"/>
        <v>0</v>
      </c>
      <c r="E263" s="103">
        <f t="shared" si="35"/>
        <v>-83333.333333333328</v>
      </c>
      <c r="F263" s="53"/>
      <c r="G263" s="24">
        <f t="shared" si="34"/>
        <v>0</v>
      </c>
      <c r="H263" s="15"/>
      <c r="I263" s="15"/>
      <c r="J263" s="24">
        <f t="shared" si="36"/>
        <v>-83333.333333333328</v>
      </c>
      <c r="K263" s="51">
        <f>IF(L263=1,0,IF(SUM(K$253:K262)&gt;=Construction_Timeline,0,1))</f>
        <v>0</v>
      </c>
      <c r="L263" s="13">
        <f t="shared" si="37"/>
        <v>1</v>
      </c>
      <c r="M263" s="54">
        <f t="shared" si="38"/>
        <v>46478</v>
      </c>
      <c r="N263" s="7"/>
      <c r="O263" s="12"/>
      <c r="Q263" s="65"/>
      <c r="W263" s="3"/>
      <c r="X263" s="3"/>
    </row>
    <row r="264" spans="1:24" customFormat="1">
      <c r="A264" s="3"/>
      <c r="B264" s="6"/>
      <c r="C264" s="7">
        <v>16</v>
      </c>
      <c r="D264" s="24">
        <f t="shared" si="33"/>
        <v>0</v>
      </c>
      <c r="E264" s="103">
        <f t="shared" si="35"/>
        <v>-83333.333333333328</v>
      </c>
      <c r="F264" s="53"/>
      <c r="G264" s="24">
        <f t="shared" si="34"/>
        <v>0</v>
      </c>
      <c r="H264" s="15"/>
      <c r="I264" s="15"/>
      <c r="J264" s="24">
        <f t="shared" si="36"/>
        <v>-83333.333333333328</v>
      </c>
      <c r="K264" s="51">
        <f>IF(L264=1,0,IF(SUM(K$253:K263)&gt;=Construction_Timeline,0,1))</f>
        <v>0</v>
      </c>
      <c r="L264" s="13">
        <f t="shared" si="37"/>
        <v>1</v>
      </c>
      <c r="M264" s="54">
        <f t="shared" si="38"/>
        <v>46508</v>
      </c>
      <c r="N264" s="7"/>
      <c r="O264" s="12"/>
      <c r="Q264" s="65"/>
      <c r="W264" s="3"/>
      <c r="X264" s="3"/>
    </row>
    <row r="265" spans="1:24" customFormat="1">
      <c r="A265" s="3"/>
      <c r="B265" s="6"/>
      <c r="C265" s="7">
        <v>17</v>
      </c>
      <c r="D265" s="24">
        <f t="shared" si="33"/>
        <v>0</v>
      </c>
      <c r="E265" s="103">
        <f t="shared" si="35"/>
        <v>-83333.333333333328</v>
      </c>
      <c r="F265" s="53"/>
      <c r="G265" s="24">
        <f t="shared" si="34"/>
        <v>0</v>
      </c>
      <c r="H265" s="15"/>
      <c r="I265" s="15"/>
      <c r="J265" s="24">
        <f t="shared" si="36"/>
        <v>-83333.333333333328</v>
      </c>
      <c r="K265" s="51">
        <f>IF(L265=1,0,IF(SUM(K$253:K264)&gt;=Construction_Timeline,0,1))</f>
        <v>0</v>
      </c>
      <c r="L265" s="13">
        <f t="shared" si="37"/>
        <v>1</v>
      </c>
      <c r="M265" s="54">
        <f t="shared" si="38"/>
        <v>46539</v>
      </c>
      <c r="N265" s="7"/>
      <c r="O265" s="12"/>
      <c r="Q265" s="65"/>
      <c r="W265" s="3"/>
      <c r="X265" s="3"/>
    </row>
    <row r="266" spans="1:24" customFormat="1">
      <c r="A266" s="3"/>
      <c r="B266" s="6"/>
      <c r="C266" s="7">
        <v>18</v>
      </c>
      <c r="D266" s="24">
        <f t="shared" si="33"/>
        <v>0</v>
      </c>
      <c r="E266" s="103">
        <f t="shared" si="35"/>
        <v>-83333.333333333328</v>
      </c>
      <c r="F266" s="53"/>
      <c r="G266" s="24">
        <f t="shared" si="34"/>
        <v>0</v>
      </c>
      <c r="H266" s="15"/>
      <c r="I266" s="15"/>
      <c r="J266" s="24">
        <f t="shared" si="36"/>
        <v>-83333.333333333328</v>
      </c>
      <c r="K266" s="51">
        <f>IF(L266=1,0,IF(SUM(K$253:K265)&gt;=Construction_Timeline,0,1))</f>
        <v>0</v>
      </c>
      <c r="L266" s="13">
        <f t="shared" si="37"/>
        <v>1</v>
      </c>
      <c r="M266" s="54">
        <f t="shared" si="38"/>
        <v>46569</v>
      </c>
      <c r="N266" s="7"/>
      <c r="O266" s="12"/>
      <c r="Q266" s="65"/>
      <c r="W266" s="3"/>
      <c r="X266" s="3"/>
    </row>
    <row r="267" spans="1:24" customFormat="1">
      <c r="A267" s="3"/>
      <c r="B267" s="6"/>
      <c r="C267" s="7">
        <v>19</v>
      </c>
      <c r="D267" s="24">
        <f t="shared" si="33"/>
        <v>0</v>
      </c>
      <c r="E267" s="103">
        <f t="shared" si="35"/>
        <v>-83333.333333333328</v>
      </c>
      <c r="F267" s="53"/>
      <c r="G267" s="24">
        <f t="shared" si="34"/>
        <v>0</v>
      </c>
      <c r="H267" s="15"/>
      <c r="I267" s="15"/>
      <c r="J267" s="24">
        <f t="shared" si="36"/>
        <v>-83333.333333333328</v>
      </c>
      <c r="K267" s="51">
        <f>IF(L267=1,0,IF(SUM(K$253:K266)&gt;=Construction_Timeline,0,1))</f>
        <v>0</v>
      </c>
      <c r="L267" s="13">
        <f t="shared" si="37"/>
        <v>1</v>
      </c>
      <c r="M267" s="54">
        <f t="shared" si="38"/>
        <v>46600</v>
      </c>
      <c r="N267" s="7"/>
      <c r="O267" s="12"/>
      <c r="Q267" s="65"/>
      <c r="W267" s="3"/>
      <c r="X267" s="3"/>
    </row>
    <row r="268" spans="1:24" customFormat="1">
      <c r="A268" s="3"/>
      <c r="B268" s="6"/>
      <c r="C268" s="7">
        <v>20</v>
      </c>
      <c r="D268" s="24">
        <f t="shared" si="33"/>
        <v>0</v>
      </c>
      <c r="E268" s="103">
        <f t="shared" si="35"/>
        <v>-83333.333333333328</v>
      </c>
      <c r="F268" s="53"/>
      <c r="G268" s="24">
        <f t="shared" si="34"/>
        <v>0</v>
      </c>
      <c r="H268" s="15"/>
      <c r="I268" s="15"/>
      <c r="J268" s="24">
        <f t="shared" si="36"/>
        <v>-83333.333333333328</v>
      </c>
      <c r="K268" s="51">
        <f>IF(L268=1,0,IF(SUM(K$253:K267)&gt;=Construction_Timeline,0,1))</f>
        <v>0</v>
      </c>
      <c r="L268" s="13">
        <f t="shared" si="37"/>
        <v>1</v>
      </c>
      <c r="M268" s="54">
        <f t="shared" si="38"/>
        <v>46631</v>
      </c>
      <c r="N268" s="7"/>
      <c r="O268" s="12"/>
      <c r="Q268" s="65"/>
      <c r="W268" s="3"/>
      <c r="X268" s="3"/>
    </row>
    <row r="269" spans="1:24" customFormat="1">
      <c r="A269" s="3"/>
      <c r="B269" s="6"/>
      <c r="C269" s="7">
        <v>21</v>
      </c>
      <c r="D269" s="24">
        <f t="shared" si="33"/>
        <v>0</v>
      </c>
      <c r="E269" s="103">
        <f t="shared" si="35"/>
        <v>-83333.333333333328</v>
      </c>
      <c r="F269" s="53"/>
      <c r="G269" s="24">
        <f t="shared" si="34"/>
        <v>0</v>
      </c>
      <c r="H269" s="15"/>
      <c r="I269" s="15"/>
      <c r="J269" s="24">
        <f t="shared" si="36"/>
        <v>-83333.333333333328</v>
      </c>
      <c r="K269" s="51">
        <f>IF(L269=1,0,IF(SUM(K$253:K268)&gt;=Construction_Timeline,0,1))</f>
        <v>0</v>
      </c>
      <c r="L269" s="13">
        <f t="shared" si="37"/>
        <v>1</v>
      </c>
      <c r="M269" s="54">
        <f t="shared" si="38"/>
        <v>46661</v>
      </c>
      <c r="N269" s="7"/>
      <c r="O269" s="12"/>
      <c r="Q269" s="65"/>
      <c r="W269" s="3"/>
      <c r="X269" s="3"/>
    </row>
    <row r="270" spans="1:24" customFormat="1">
      <c r="A270" s="3"/>
      <c r="B270" s="6"/>
      <c r="C270" s="7">
        <v>22</v>
      </c>
      <c r="D270" s="24">
        <f t="shared" si="33"/>
        <v>0</v>
      </c>
      <c r="E270" s="103">
        <f t="shared" si="35"/>
        <v>-83333.333333333328</v>
      </c>
      <c r="F270" s="53"/>
      <c r="G270" s="24">
        <f t="shared" si="34"/>
        <v>0</v>
      </c>
      <c r="H270" s="15"/>
      <c r="I270" s="15"/>
      <c r="J270" s="24">
        <f t="shared" si="36"/>
        <v>-83333.333333333328</v>
      </c>
      <c r="K270" s="51">
        <f>IF(L270=1,0,IF(SUM(K$253:K269)&gt;=Construction_Timeline,0,1))</f>
        <v>0</v>
      </c>
      <c r="L270" s="13">
        <f t="shared" si="37"/>
        <v>1</v>
      </c>
      <c r="M270" s="54">
        <f t="shared" si="38"/>
        <v>46692</v>
      </c>
      <c r="N270" s="7"/>
      <c r="O270" s="12"/>
      <c r="Q270" s="65"/>
      <c r="W270" s="3"/>
      <c r="X270" s="3"/>
    </row>
    <row r="271" spans="1:24" customFormat="1">
      <c r="A271" s="3"/>
      <c r="B271" s="6"/>
      <c r="C271" s="7">
        <v>23</v>
      </c>
      <c r="D271" s="24">
        <f t="shared" si="33"/>
        <v>0</v>
      </c>
      <c r="E271" s="103">
        <f t="shared" si="35"/>
        <v>-83333.333333333328</v>
      </c>
      <c r="F271" s="53"/>
      <c r="G271" s="24">
        <f t="shared" si="34"/>
        <v>0</v>
      </c>
      <c r="H271" s="15"/>
      <c r="I271" s="15"/>
      <c r="J271" s="24">
        <f t="shared" si="36"/>
        <v>-83333.333333333328</v>
      </c>
      <c r="K271" s="51">
        <f>IF(L271=1,0,IF(SUM(K$253:K270)&gt;=Construction_Timeline,0,1))</f>
        <v>0</v>
      </c>
      <c r="L271" s="13">
        <f t="shared" si="37"/>
        <v>1</v>
      </c>
      <c r="M271" s="54">
        <f t="shared" si="38"/>
        <v>46722</v>
      </c>
      <c r="N271" s="7"/>
      <c r="O271" s="12"/>
      <c r="Q271" s="65"/>
      <c r="W271" s="3"/>
      <c r="X271" s="3"/>
    </row>
    <row r="272" spans="1:24" customFormat="1">
      <c r="A272" s="3"/>
      <c r="B272" s="6"/>
      <c r="C272" s="7">
        <v>24</v>
      </c>
      <c r="D272" s="24">
        <f t="shared" si="33"/>
        <v>0</v>
      </c>
      <c r="E272" s="103">
        <f t="shared" si="35"/>
        <v>-83333.333333333328</v>
      </c>
      <c r="F272" s="53"/>
      <c r="G272" s="24">
        <f t="shared" si="34"/>
        <v>0</v>
      </c>
      <c r="H272" s="15"/>
      <c r="I272" s="15"/>
      <c r="J272" s="24">
        <f t="shared" si="36"/>
        <v>-83333.333333333328</v>
      </c>
      <c r="K272" s="51">
        <f>IF(L272=1,0,IF(SUM(K$253:K271)&gt;=Construction_Timeline,0,1))</f>
        <v>0</v>
      </c>
      <c r="L272" s="13">
        <f t="shared" si="37"/>
        <v>1</v>
      </c>
      <c r="M272" s="54">
        <f t="shared" si="38"/>
        <v>46753</v>
      </c>
      <c r="N272" s="7"/>
      <c r="O272" s="12"/>
      <c r="Q272" s="65"/>
      <c r="W272" s="3"/>
      <c r="X272" s="3"/>
    </row>
    <row r="273" spans="1:24" customFormat="1">
      <c r="A273" s="3"/>
      <c r="B273" s="6"/>
      <c r="C273" s="7">
        <v>25</v>
      </c>
      <c r="D273" s="24">
        <f t="shared" si="33"/>
        <v>-1666666.6666666667</v>
      </c>
      <c r="E273" s="103">
        <f t="shared" si="35"/>
        <v>0</v>
      </c>
      <c r="F273" s="53"/>
      <c r="G273" s="24">
        <f t="shared" si="34"/>
        <v>0</v>
      </c>
      <c r="H273" s="15"/>
      <c r="I273" s="15"/>
      <c r="J273" s="24">
        <f t="shared" si="36"/>
        <v>-1666666.6666666667</v>
      </c>
      <c r="K273" s="51">
        <f>IF(L273=1,0,IF(SUM(K$253:K272)&gt;=Construction_Timeline,0,1))</f>
        <v>1</v>
      </c>
      <c r="L273" s="13">
        <f t="shared" si="37"/>
        <v>0</v>
      </c>
      <c r="M273" s="54">
        <f t="shared" si="38"/>
        <v>46784</v>
      </c>
      <c r="N273" s="7"/>
      <c r="O273" s="12"/>
      <c r="Q273" s="65"/>
      <c r="W273" s="3"/>
      <c r="X273" s="3"/>
    </row>
    <row r="274" spans="1:24" customFormat="1">
      <c r="A274" s="3"/>
      <c r="B274" s="6"/>
      <c r="C274" s="7">
        <v>26</v>
      </c>
      <c r="D274" s="24">
        <f t="shared" si="33"/>
        <v>-1666666.6666666667</v>
      </c>
      <c r="E274" s="103">
        <f t="shared" si="35"/>
        <v>0</v>
      </c>
      <c r="F274" s="53"/>
      <c r="G274" s="24">
        <f t="shared" si="34"/>
        <v>0</v>
      </c>
      <c r="H274" s="15"/>
      <c r="I274" s="15"/>
      <c r="J274" s="24">
        <f t="shared" si="36"/>
        <v>-1666666.6666666667</v>
      </c>
      <c r="K274" s="51">
        <f>IF(L274=1,0,IF(SUM(K$253:K273)&gt;=Construction_Timeline,0,1))</f>
        <v>1</v>
      </c>
      <c r="L274" s="13">
        <f t="shared" si="37"/>
        <v>0</v>
      </c>
      <c r="M274" s="54">
        <f t="shared" si="38"/>
        <v>46813</v>
      </c>
      <c r="N274" s="7"/>
      <c r="O274" s="12"/>
      <c r="Q274" s="65"/>
      <c r="W274" s="3"/>
      <c r="X274" s="3"/>
    </row>
    <row r="275" spans="1:24" customFormat="1">
      <c r="A275" s="3"/>
      <c r="B275" s="6"/>
      <c r="C275" s="7">
        <v>27</v>
      </c>
      <c r="D275" s="24">
        <f t="shared" si="33"/>
        <v>-1666666.6666666667</v>
      </c>
      <c r="E275" s="103">
        <f t="shared" si="35"/>
        <v>0</v>
      </c>
      <c r="F275" s="53"/>
      <c r="G275" s="24">
        <f t="shared" si="34"/>
        <v>0</v>
      </c>
      <c r="H275" s="15"/>
      <c r="I275" s="15"/>
      <c r="J275" s="24">
        <f t="shared" si="36"/>
        <v>-1666666.6666666667</v>
      </c>
      <c r="K275" s="51">
        <f>IF(L275=1,0,IF(SUM(K$253:K274)&gt;=Construction_Timeline,0,1))</f>
        <v>1</v>
      </c>
      <c r="L275" s="13">
        <f t="shared" si="37"/>
        <v>0</v>
      </c>
      <c r="M275" s="54">
        <f t="shared" si="38"/>
        <v>46844</v>
      </c>
      <c r="N275" s="7"/>
      <c r="O275" s="12"/>
      <c r="Q275" s="65"/>
      <c r="W275" s="3"/>
      <c r="X275" s="3"/>
    </row>
    <row r="276" spans="1:24" customFormat="1">
      <c r="A276" s="3"/>
      <c r="B276" s="6"/>
      <c r="C276" s="7">
        <v>28</v>
      </c>
      <c r="D276" s="24">
        <f t="shared" si="33"/>
        <v>-1666666.6666666667</v>
      </c>
      <c r="E276" s="103">
        <f t="shared" si="35"/>
        <v>0</v>
      </c>
      <c r="F276" s="53"/>
      <c r="G276" s="24">
        <f t="shared" si="34"/>
        <v>0</v>
      </c>
      <c r="H276" s="15"/>
      <c r="I276" s="15"/>
      <c r="J276" s="24">
        <f t="shared" si="36"/>
        <v>-1666666.6666666667</v>
      </c>
      <c r="K276" s="51">
        <f>IF(L276=1,0,IF(SUM(K$253:K275)&gt;=Construction_Timeline,0,1))</f>
        <v>1</v>
      </c>
      <c r="L276" s="13">
        <f t="shared" si="37"/>
        <v>0</v>
      </c>
      <c r="M276" s="54">
        <f t="shared" si="38"/>
        <v>46874</v>
      </c>
      <c r="N276" s="7"/>
      <c r="O276" s="12"/>
      <c r="Q276" s="65"/>
      <c r="W276" s="3"/>
      <c r="X276" s="3"/>
    </row>
    <row r="277" spans="1:24" customFormat="1">
      <c r="A277" s="3"/>
      <c r="B277" s="6"/>
      <c r="C277" s="7">
        <v>29</v>
      </c>
      <c r="D277" s="24">
        <f t="shared" si="33"/>
        <v>-1666666.6666666667</v>
      </c>
      <c r="E277" s="103">
        <f t="shared" si="35"/>
        <v>0</v>
      </c>
      <c r="F277" s="53"/>
      <c r="G277" s="24">
        <f t="shared" si="34"/>
        <v>0</v>
      </c>
      <c r="H277" s="15"/>
      <c r="I277" s="15"/>
      <c r="J277" s="24">
        <f t="shared" si="36"/>
        <v>-1666666.6666666667</v>
      </c>
      <c r="K277" s="51">
        <f>IF(L277=1,0,IF(SUM(K$253:K276)&gt;=Construction_Timeline,0,1))</f>
        <v>1</v>
      </c>
      <c r="L277" s="13">
        <f t="shared" si="37"/>
        <v>0</v>
      </c>
      <c r="M277" s="54">
        <f t="shared" si="38"/>
        <v>46905</v>
      </c>
      <c r="N277" s="7"/>
      <c r="O277" s="12"/>
      <c r="Q277" s="65"/>
      <c r="W277" s="3"/>
      <c r="X277" s="3"/>
    </row>
    <row r="278" spans="1:24" customFormat="1">
      <c r="A278" s="3"/>
      <c r="B278" s="6"/>
      <c r="C278" s="7">
        <v>30</v>
      </c>
      <c r="D278" s="24">
        <f t="shared" si="33"/>
        <v>-1666666.6666666667</v>
      </c>
      <c r="E278" s="103">
        <f t="shared" si="35"/>
        <v>0</v>
      </c>
      <c r="F278" s="53"/>
      <c r="G278" s="24">
        <f t="shared" si="34"/>
        <v>0</v>
      </c>
      <c r="H278" s="15"/>
      <c r="I278" s="15"/>
      <c r="J278" s="24">
        <f t="shared" si="36"/>
        <v>-1666666.6666666667</v>
      </c>
      <c r="K278" s="51">
        <f>IF(L278=1,0,IF(SUM(K$253:K277)&gt;=Construction_Timeline,0,1))</f>
        <v>1</v>
      </c>
      <c r="L278" s="13">
        <f t="shared" si="37"/>
        <v>0</v>
      </c>
      <c r="M278" s="54">
        <f t="shared" si="38"/>
        <v>46935</v>
      </c>
      <c r="N278" s="7"/>
      <c r="O278" s="12"/>
      <c r="Q278" s="65"/>
      <c r="W278" s="3"/>
      <c r="X278" s="3"/>
    </row>
    <row r="279" spans="1:24" customFormat="1">
      <c r="A279" s="3"/>
      <c r="B279" s="6"/>
      <c r="C279" s="7">
        <v>31</v>
      </c>
      <c r="D279" s="24">
        <f t="shared" si="33"/>
        <v>-1666666.6666666667</v>
      </c>
      <c r="E279" s="103">
        <f t="shared" si="35"/>
        <v>0</v>
      </c>
      <c r="F279" s="53"/>
      <c r="G279" s="24">
        <f t="shared" si="34"/>
        <v>0</v>
      </c>
      <c r="H279" s="15"/>
      <c r="I279" s="15"/>
      <c r="J279" s="24">
        <f t="shared" si="36"/>
        <v>-1666666.6666666667</v>
      </c>
      <c r="K279" s="51">
        <f>IF(L279=1,0,IF(SUM(K$253:K278)&gt;=Construction_Timeline,0,1))</f>
        <v>1</v>
      </c>
      <c r="L279" s="13">
        <f t="shared" si="37"/>
        <v>0</v>
      </c>
      <c r="M279" s="54">
        <f t="shared" si="38"/>
        <v>46966</v>
      </c>
      <c r="N279" s="7"/>
      <c r="O279" s="12"/>
      <c r="Q279" s="65"/>
      <c r="W279" s="3"/>
      <c r="X279" s="3"/>
    </row>
    <row r="280" spans="1:24" customFormat="1">
      <c r="A280" s="3"/>
      <c r="B280" s="6"/>
      <c r="C280" s="7">
        <v>32</v>
      </c>
      <c r="D280" s="24">
        <f t="shared" ref="D280:D311" si="39">IF(K280=1,-Construction_Costs/Construction_Timeline,0)</f>
        <v>-1666666.6666666667</v>
      </c>
      <c r="E280" s="103">
        <f t="shared" si="35"/>
        <v>0</v>
      </c>
      <c r="F280" s="53"/>
      <c r="G280" s="24">
        <f t="shared" ref="G280:G311" si="40">IF(C280=SUM(Month_of_Sale,PreDev_Timeline,Construction_Timeline),Sale_Price*(1-D$44),0)</f>
        <v>0</v>
      </c>
      <c r="H280" s="15"/>
      <c r="I280" s="15"/>
      <c r="J280" s="24">
        <f t="shared" si="36"/>
        <v>-1666666.6666666667</v>
      </c>
      <c r="K280" s="51">
        <f>IF(L280=1,0,IF(SUM(K$253:K279)&gt;=Construction_Timeline,0,1))</f>
        <v>1</v>
      </c>
      <c r="L280" s="13">
        <f t="shared" si="37"/>
        <v>0</v>
      </c>
      <c r="M280" s="54">
        <f t="shared" si="38"/>
        <v>46997</v>
      </c>
      <c r="N280" s="7"/>
      <c r="O280" s="12"/>
      <c r="Q280" s="65"/>
      <c r="W280" s="3"/>
      <c r="X280" s="3"/>
    </row>
    <row r="281" spans="1:24" customFormat="1">
      <c r="A281" s="3"/>
      <c r="B281" s="6"/>
      <c r="C281" s="7">
        <v>33</v>
      </c>
      <c r="D281" s="24">
        <f t="shared" si="39"/>
        <v>-1666666.6666666667</v>
      </c>
      <c r="E281" s="103">
        <f t="shared" ref="E281:E312" si="41">-Pre_Development_Costs/PreDev_Timeline*L281</f>
        <v>0</v>
      </c>
      <c r="F281" s="53"/>
      <c r="G281" s="24">
        <f t="shared" si="40"/>
        <v>0</v>
      </c>
      <c r="H281" s="15"/>
      <c r="I281" s="15"/>
      <c r="J281" s="24">
        <f t="shared" si="36"/>
        <v>-1666666.6666666667</v>
      </c>
      <c r="K281" s="51">
        <f>IF(L281=1,0,IF(SUM(K$253:K280)&gt;=Construction_Timeline,0,1))</f>
        <v>1</v>
      </c>
      <c r="L281" s="13">
        <f t="shared" ref="L281:L312" si="42">IF(C281&lt;=PreDev_Timeline,1,0)</f>
        <v>0</v>
      </c>
      <c r="M281" s="54">
        <f t="shared" si="38"/>
        <v>47027</v>
      </c>
      <c r="N281" s="7"/>
      <c r="O281" s="12"/>
      <c r="Q281" s="65"/>
      <c r="W281" s="3"/>
      <c r="X281" s="3"/>
    </row>
    <row r="282" spans="1:24" customFormat="1">
      <c r="A282" s="3"/>
      <c r="B282" s="6"/>
      <c r="C282" s="7">
        <v>34</v>
      </c>
      <c r="D282" s="24">
        <f t="shared" si="39"/>
        <v>-1666666.6666666667</v>
      </c>
      <c r="E282" s="103">
        <f t="shared" si="41"/>
        <v>0</v>
      </c>
      <c r="F282" s="53"/>
      <c r="G282" s="24">
        <f t="shared" si="40"/>
        <v>0</v>
      </c>
      <c r="H282" s="15"/>
      <c r="I282" s="15"/>
      <c r="J282" s="24">
        <f t="shared" si="36"/>
        <v>-1666666.6666666667</v>
      </c>
      <c r="K282" s="51">
        <f>IF(L282=1,0,IF(SUM(K$253:K281)&gt;=Construction_Timeline,0,1))</f>
        <v>1</v>
      </c>
      <c r="L282" s="13">
        <f t="shared" si="42"/>
        <v>0</v>
      </c>
      <c r="M282" s="54">
        <f t="shared" si="38"/>
        <v>47058</v>
      </c>
      <c r="N282" s="7"/>
      <c r="O282" s="12"/>
      <c r="Q282" s="65"/>
      <c r="W282" s="3"/>
      <c r="X282" s="3"/>
    </row>
    <row r="283" spans="1:24" customFormat="1">
      <c r="A283" s="3"/>
      <c r="B283" s="6"/>
      <c r="C283" s="7">
        <v>35</v>
      </c>
      <c r="D283" s="24">
        <f t="shared" si="39"/>
        <v>-1666666.6666666667</v>
      </c>
      <c r="E283" s="103">
        <f t="shared" si="41"/>
        <v>0</v>
      </c>
      <c r="F283" s="53"/>
      <c r="G283" s="24">
        <f t="shared" si="40"/>
        <v>0</v>
      </c>
      <c r="H283" s="15"/>
      <c r="I283" s="15"/>
      <c r="J283" s="24">
        <f t="shared" si="36"/>
        <v>-1666666.6666666667</v>
      </c>
      <c r="K283" s="51">
        <f>IF(L283=1,0,IF(SUM(K$253:K282)&gt;=Construction_Timeline,0,1))</f>
        <v>1</v>
      </c>
      <c r="L283" s="13">
        <f t="shared" si="42"/>
        <v>0</v>
      </c>
      <c r="M283" s="54">
        <f t="shared" si="38"/>
        <v>47088</v>
      </c>
      <c r="N283" s="7"/>
      <c r="O283" s="12"/>
      <c r="Q283" s="65"/>
      <c r="W283" s="3"/>
      <c r="X283" s="3"/>
    </row>
    <row r="284" spans="1:24" customFormat="1">
      <c r="A284" s="3"/>
      <c r="B284" s="6"/>
      <c r="C284" s="7">
        <v>36</v>
      </c>
      <c r="D284" s="24">
        <f t="shared" si="39"/>
        <v>-1666666.6666666667</v>
      </c>
      <c r="E284" s="103">
        <f t="shared" si="41"/>
        <v>0</v>
      </c>
      <c r="F284" s="53"/>
      <c r="G284" s="24">
        <f t="shared" si="40"/>
        <v>0</v>
      </c>
      <c r="H284" s="15"/>
      <c r="I284" s="15"/>
      <c r="J284" s="24">
        <f t="shared" si="36"/>
        <v>-1666666.6666666667</v>
      </c>
      <c r="K284" s="51">
        <f>IF(L284=1,0,IF(SUM(K$253:K283)&gt;=Construction_Timeline,0,1))</f>
        <v>1</v>
      </c>
      <c r="L284" s="13">
        <f t="shared" si="42"/>
        <v>0</v>
      </c>
      <c r="M284" s="54">
        <f t="shared" si="38"/>
        <v>47119</v>
      </c>
      <c r="N284" s="7"/>
      <c r="O284" s="12"/>
      <c r="Q284" s="65"/>
      <c r="W284" s="3"/>
      <c r="X284" s="3"/>
    </row>
    <row r="285" spans="1:24" customFormat="1">
      <c r="A285" s="3"/>
      <c r="B285" s="6"/>
      <c r="C285" s="7">
        <v>37</v>
      </c>
      <c r="D285" s="24">
        <f t="shared" si="39"/>
        <v>-1666666.6666666667</v>
      </c>
      <c r="E285" s="103">
        <f t="shared" si="41"/>
        <v>0</v>
      </c>
      <c r="F285" s="53"/>
      <c r="G285" s="24">
        <f t="shared" si="40"/>
        <v>0</v>
      </c>
      <c r="H285" s="15"/>
      <c r="I285" s="15"/>
      <c r="J285" s="24">
        <f t="shared" si="36"/>
        <v>-1666666.6666666667</v>
      </c>
      <c r="K285" s="51">
        <f>IF(L285=1,0,IF(SUM(K$253:K284)&gt;=Construction_Timeline,0,1))</f>
        <v>1</v>
      </c>
      <c r="L285" s="13">
        <f t="shared" si="42"/>
        <v>0</v>
      </c>
      <c r="M285" s="54">
        <f t="shared" si="38"/>
        <v>47150</v>
      </c>
      <c r="N285" s="7"/>
      <c r="O285" s="12"/>
      <c r="Q285" s="65"/>
      <c r="W285" s="3"/>
      <c r="X285" s="3"/>
    </row>
    <row r="286" spans="1:24" customFormat="1">
      <c r="A286" s="3"/>
      <c r="B286" s="6"/>
      <c r="C286" s="7">
        <v>38</v>
      </c>
      <c r="D286" s="24">
        <f t="shared" si="39"/>
        <v>-1666666.6666666667</v>
      </c>
      <c r="E286" s="103">
        <f t="shared" si="41"/>
        <v>0</v>
      </c>
      <c r="F286" s="53"/>
      <c r="G286" s="24">
        <f t="shared" si="40"/>
        <v>0</v>
      </c>
      <c r="H286" s="15"/>
      <c r="I286" s="15"/>
      <c r="J286" s="24">
        <f t="shared" si="36"/>
        <v>-1666666.6666666667</v>
      </c>
      <c r="K286" s="51">
        <f>IF(L286=1,0,IF(SUM(K$253:K285)&gt;=Construction_Timeline,0,1))</f>
        <v>1</v>
      </c>
      <c r="L286" s="13">
        <f t="shared" si="42"/>
        <v>0</v>
      </c>
      <c r="M286" s="54">
        <f t="shared" si="38"/>
        <v>47178</v>
      </c>
      <c r="N286" s="7"/>
      <c r="O286" s="12"/>
      <c r="Q286" s="65"/>
      <c r="W286" s="3"/>
      <c r="X286" s="3"/>
    </row>
    <row r="287" spans="1:24" customFormat="1">
      <c r="A287" s="3"/>
      <c r="B287" s="6"/>
      <c r="C287" s="7">
        <v>39</v>
      </c>
      <c r="D287" s="24">
        <f t="shared" si="39"/>
        <v>-1666666.6666666667</v>
      </c>
      <c r="E287" s="103">
        <f t="shared" si="41"/>
        <v>0</v>
      </c>
      <c r="F287" s="53"/>
      <c r="G287" s="24">
        <f t="shared" si="40"/>
        <v>0</v>
      </c>
      <c r="H287" s="15"/>
      <c r="I287" s="15"/>
      <c r="J287" s="24">
        <f t="shared" si="36"/>
        <v>-1666666.6666666667</v>
      </c>
      <c r="K287" s="51">
        <f>IF(L287=1,0,IF(SUM(K$253:K286)&gt;=Construction_Timeline,0,1))</f>
        <v>1</v>
      </c>
      <c r="L287" s="13">
        <f t="shared" si="42"/>
        <v>0</v>
      </c>
      <c r="M287" s="54">
        <f t="shared" si="38"/>
        <v>47209</v>
      </c>
      <c r="N287" s="7"/>
      <c r="O287" s="12"/>
      <c r="Q287" s="65"/>
      <c r="W287" s="3"/>
      <c r="X287" s="3"/>
    </row>
    <row r="288" spans="1:24" customFormat="1">
      <c r="A288" s="3"/>
      <c r="B288" s="6"/>
      <c r="C288" s="7">
        <v>40</v>
      </c>
      <c r="D288" s="24">
        <f t="shared" si="39"/>
        <v>-1666666.6666666667</v>
      </c>
      <c r="E288" s="103">
        <f t="shared" si="41"/>
        <v>0</v>
      </c>
      <c r="F288" s="53"/>
      <c r="G288" s="24">
        <f t="shared" si="40"/>
        <v>0</v>
      </c>
      <c r="H288" s="15"/>
      <c r="I288" s="15"/>
      <c r="J288" s="24">
        <f t="shared" si="36"/>
        <v>-1666666.6666666667</v>
      </c>
      <c r="K288" s="51">
        <f>IF(L288=1,0,IF(SUM(K$253:K287)&gt;=Construction_Timeline,0,1))</f>
        <v>1</v>
      </c>
      <c r="L288" s="13">
        <f t="shared" si="42"/>
        <v>0</v>
      </c>
      <c r="M288" s="54">
        <f t="shared" si="38"/>
        <v>47239</v>
      </c>
      <c r="N288" s="7"/>
      <c r="O288" s="12"/>
      <c r="Q288" s="65"/>
      <c r="W288" s="3"/>
      <c r="X288" s="3"/>
    </row>
    <row r="289" spans="1:24" customFormat="1">
      <c r="A289" s="3"/>
      <c r="B289" s="6"/>
      <c r="C289" s="7">
        <v>41</v>
      </c>
      <c r="D289" s="24">
        <f t="shared" si="39"/>
        <v>-1666666.6666666667</v>
      </c>
      <c r="E289" s="103">
        <f t="shared" si="41"/>
        <v>0</v>
      </c>
      <c r="F289" s="53"/>
      <c r="G289" s="24">
        <f t="shared" si="40"/>
        <v>0</v>
      </c>
      <c r="H289" s="15"/>
      <c r="I289" s="15"/>
      <c r="J289" s="24">
        <f t="shared" si="36"/>
        <v>-1666666.6666666667</v>
      </c>
      <c r="K289" s="51">
        <f>IF(L289=1,0,IF(SUM(K$253:K288)&gt;=Construction_Timeline,0,1))</f>
        <v>1</v>
      </c>
      <c r="L289" s="13">
        <f t="shared" si="42"/>
        <v>0</v>
      </c>
      <c r="M289" s="54">
        <f t="shared" si="38"/>
        <v>47270</v>
      </c>
      <c r="N289" s="7"/>
      <c r="O289" s="12"/>
      <c r="Q289" s="65"/>
      <c r="W289" s="3"/>
      <c r="X289" s="3"/>
    </row>
    <row r="290" spans="1:24" customFormat="1">
      <c r="A290" s="3"/>
      <c r="B290" s="6"/>
      <c r="C290" s="7">
        <v>42</v>
      </c>
      <c r="D290" s="24">
        <f t="shared" si="39"/>
        <v>-1666666.6666666667</v>
      </c>
      <c r="E290" s="103">
        <f t="shared" si="41"/>
        <v>0</v>
      </c>
      <c r="F290" s="53"/>
      <c r="G290" s="24">
        <f t="shared" si="40"/>
        <v>0</v>
      </c>
      <c r="H290" s="15"/>
      <c r="I290" s="15"/>
      <c r="J290" s="24">
        <f t="shared" si="36"/>
        <v>-1666666.6666666667</v>
      </c>
      <c r="K290" s="51">
        <f>IF(L290=1,0,IF(SUM(K$253:K289)&gt;=Construction_Timeline,0,1))</f>
        <v>1</v>
      </c>
      <c r="L290" s="13">
        <f t="shared" si="42"/>
        <v>0</v>
      </c>
      <c r="M290" s="54">
        <f t="shared" si="38"/>
        <v>47300</v>
      </c>
      <c r="N290" s="7"/>
      <c r="O290" s="12"/>
      <c r="Q290" s="65"/>
      <c r="W290" s="3"/>
      <c r="X290" s="3"/>
    </row>
    <row r="291" spans="1:24" customFormat="1">
      <c r="A291" s="3"/>
      <c r="B291" s="6"/>
      <c r="C291" s="7">
        <v>43</v>
      </c>
      <c r="D291" s="24">
        <f t="shared" si="39"/>
        <v>0</v>
      </c>
      <c r="E291" s="103">
        <f t="shared" si="41"/>
        <v>0</v>
      </c>
      <c r="F291" s="53"/>
      <c r="G291" s="24">
        <f t="shared" si="40"/>
        <v>0</v>
      </c>
      <c r="H291" s="15"/>
      <c r="I291" s="15"/>
      <c r="J291" s="24">
        <f t="shared" si="36"/>
        <v>0</v>
      </c>
      <c r="K291" s="51">
        <f>IF(L291=1,0,IF(SUM(K$253:K290)&gt;=Construction_Timeline,0,1))</f>
        <v>0</v>
      </c>
      <c r="L291" s="13">
        <f t="shared" si="42"/>
        <v>0</v>
      </c>
      <c r="M291" s="54">
        <f t="shared" si="38"/>
        <v>47331</v>
      </c>
      <c r="N291" s="7"/>
      <c r="O291" s="12"/>
      <c r="Q291" s="65"/>
      <c r="W291" s="3"/>
      <c r="X291" s="3"/>
    </row>
    <row r="292" spans="1:24" customFormat="1">
      <c r="A292" s="3"/>
      <c r="B292" s="6"/>
      <c r="C292" s="7">
        <v>44</v>
      </c>
      <c r="D292" s="24">
        <f t="shared" si="39"/>
        <v>0</v>
      </c>
      <c r="E292" s="103">
        <f t="shared" si="41"/>
        <v>0</v>
      </c>
      <c r="F292" s="53"/>
      <c r="G292" s="24">
        <f t="shared" si="40"/>
        <v>0</v>
      </c>
      <c r="H292" s="15"/>
      <c r="I292" s="15"/>
      <c r="J292" s="24">
        <f t="shared" si="36"/>
        <v>0</v>
      </c>
      <c r="K292" s="51">
        <f>IF(L292=1,0,IF(SUM(K$253:K291)&gt;=Construction_Timeline,0,1))</f>
        <v>0</v>
      </c>
      <c r="L292" s="13">
        <f t="shared" si="42"/>
        <v>0</v>
      </c>
      <c r="M292" s="54">
        <f t="shared" si="38"/>
        <v>47362</v>
      </c>
      <c r="N292" s="7"/>
      <c r="O292" s="12"/>
      <c r="Q292" s="65"/>
      <c r="W292" s="3"/>
      <c r="X292" s="3"/>
    </row>
    <row r="293" spans="1:24" customFormat="1">
      <c r="A293" s="3"/>
      <c r="B293" s="6"/>
      <c r="C293" s="7">
        <v>45</v>
      </c>
      <c r="D293" s="24">
        <f t="shared" si="39"/>
        <v>0</v>
      </c>
      <c r="E293" s="103">
        <f t="shared" si="41"/>
        <v>0</v>
      </c>
      <c r="F293" s="53"/>
      <c r="G293" s="24">
        <f t="shared" si="40"/>
        <v>0</v>
      </c>
      <c r="H293" s="15"/>
      <c r="I293" s="15"/>
      <c r="J293" s="24">
        <f t="shared" si="36"/>
        <v>0</v>
      </c>
      <c r="K293" s="51">
        <f>IF(L293=1,0,IF(SUM(K$253:K292)&gt;=Construction_Timeline,0,1))</f>
        <v>0</v>
      </c>
      <c r="L293" s="13">
        <f t="shared" si="42"/>
        <v>0</v>
      </c>
      <c r="M293" s="54">
        <f t="shared" si="38"/>
        <v>47392</v>
      </c>
      <c r="N293" s="7"/>
      <c r="O293" s="12"/>
      <c r="Q293" s="65"/>
      <c r="W293" s="3"/>
      <c r="X293" s="3"/>
    </row>
    <row r="294" spans="1:24" customFormat="1">
      <c r="A294" s="3"/>
      <c r="B294" s="6"/>
      <c r="C294" s="7">
        <v>46</v>
      </c>
      <c r="D294" s="24">
        <f t="shared" si="39"/>
        <v>0</v>
      </c>
      <c r="E294" s="103">
        <f t="shared" si="41"/>
        <v>0</v>
      </c>
      <c r="F294" s="53"/>
      <c r="G294" s="24">
        <f t="shared" si="40"/>
        <v>0</v>
      </c>
      <c r="H294" s="15"/>
      <c r="I294" s="15"/>
      <c r="J294" s="24">
        <f t="shared" si="36"/>
        <v>0</v>
      </c>
      <c r="K294" s="51">
        <f>IF(L294=1,0,IF(SUM(K$253:K293)&gt;=Construction_Timeline,0,1))</f>
        <v>0</v>
      </c>
      <c r="L294" s="13">
        <f t="shared" si="42"/>
        <v>0</v>
      </c>
      <c r="M294" s="54">
        <f t="shared" si="38"/>
        <v>47423</v>
      </c>
      <c r="N294" s="7"/>
      <c r="O294" s="12"/>
      <c r="Q294" s="65"/>
      <c r="W294" s="3"/>
      <c r="X294" s="3"/>
    </row>
    <row r="295" spans="1:24" customFormat="1">
      <c r="A295" s="3"/>
      <c r="B295" s="6"/>
      <c r="C295" s="7">
        <v>47</v>
      </c>
      <c r="D295" s="24">
        <f t="shared" si="39"/>
        <v>0</v>
      </c>
      <c r="E295" s="103">
        <f t="shared" si="41"/>
        <v>0</v>
      </c>
      <c r="F295" s="53"/>
      <c r="G295" s="24">
        <f t="shared" si="40"/>
        <v>0</v>
      </c>
      <c r="H295" s="15"/>
      <c r="I295" s="15"/>
      <c r="J295" s="24">
        <f t="shared" si="36"/>
        <v>0</v>
      </c>
      <c r="K295" s="51">
        <f>IF(L295=1,0,IF(SUM(K$253:K294)&gt;=Construction_Timeline,0,1))</f>
        <v>0</v>
      </c>
      <c r="L295" s="13">
        <f t="shared" si="42"/>
        <v>0</v>
      </c>
      <c r="M295" s="54">
        <f t="shared" si="38"/>
        <v>47453</v>
      </c>
      <c r="N295" s="7"/>
      <c r="O295" s="12"/>
      <c r="Q295" s="65"/>
      <c r="W295" s="3"/>
      <c r="X295" s="3"/>
    </row>
    <row r="296" spans="1:24" customFormat="1">
      <c r="A296" s="3"/>
      <c r="B296" s="6"/>
      <c r="C296" s="7">
        <v>48</v>
      </c>
      <c r="D296" s="24">
        <f t="shared" si="39"/>
        <v>0</v>
      </c>
      <c r="E296" s="103">
        <f t="shared" si="41"/>
        <v>0</v>
      </c>
      <c r="F296" s="53"/>
      <c r="G296" s="24">
        <f t="shared" si="40"/>
        <v>43650000</v>
      </c>
      <c r="H296" s="15"/>
      <c r="I296" s="15"/>
      <c r="J296" s="24">
        <f t="shared" si="36"/>
        <v>43650000</v>
      </c>
      <c r="K296" s="51">
        <f>IF(L296=1,0,IF(SUM(K$253:K295)&gt;=Construction_Timeline,0,1))</f>
        <v>0</v>
      </c>
      <c r="L296" s="13">
        <f t="shared" si="42"/>
        <v>0</v>
      </c>
      <c r="M296" s="54">
        <f t="shared" si="38"/>
        <v>47484</v>
      </c>
      <c r="N296" s="7"/>
      <c r="O296" s="12"/>
      <c r="Q296" s="65"/>
      <c r="W296" s="3"/>
      <c r="X296" s="3"/>
    </row>
    <row r="297" spans="1:24" customFormat="1">
      <c r="A297" s="3"/>
      <c r="B297" s="6"/>
      <c r="C297" s="7">
        <v>49</v>
      </c>
      <c r="D297" s="24">
        <f t="shared" si="39"/>
        <v>0</v>
      </c>
      <c r="E297" s="103">
        <f t="shared" si="41"/>
        <v>0</v>
      </c>
      <c r="F297" s="53"/>
      <c r="G297" s="24">
        <f t="shared" si="40"/>
        <v>0</v>
      </c>
      <c r="H297" s="15"/>
      <c r="I297" s="15"/>
      <c r="J297" s="24">
        <f t="shared" si="36"/>
        <v>0</v>
      </c>
      <c r="K297" s="51">
        <f>IF(L297=1,0,IF(SUM(K$253:K296)&gt;=Construction_Timeline,0,1))</f>
        <v>0</v>
      </c>
      <c r="L297" s="13">
        <f t="shared" si="42"/>
        <v>0</v>
      </c>
      <c r="M297" s="54">
        <f t="shared" si="38"/>
        <v>47515</v>
      </c>
      <c r="N297" s="7"/>
      <c r="O297" s="12"/>
      <c r="Q297" s="65"/>
      <c r="W297" s="3"/>
      <c r="X297" s="3"/>
    </row>
    <row r="298" spans="1:24" customFormat="1">
      <c r="A298" s="3"/>
      <c r="B298" s="6"/>
      <c r="C298" s="7">
        <v>50</v>
      </c>
      <c r="D298" s="24">
        <f t="shared" si="39"/>
        <v>0</v>
      </c>
      <c r="E298" s="103">
        <f t="shared" si="41"/>
        <v>0</v>
      </c>
      <c r="F298" s="53"/>
      <c r="G298" s="24">
        <f t="shared" si="40"/>
        <v>0</v>
      </c>
      <c r="H298" s="15"/>
      <c r="I298" s="15"/>
      <c r="J298" s="24">
        <f t="shared" si="36"/>
        <v>0</v>
      </c>
      <c r="K298" s="51">
        <f>IF(L298=1,0,IF(SUM(K$253:K297)&gt;=Construction_Timeline,0,1))</f>
        <v>0</v>
      </c>
      <c r="L298" s="13">
        <f t="shared" si="42"/>
        <v>0</v>
      </c>
      <c r="M298" s="54">
        <f t="shared" si="38"/>
        <v>47543</v>
      </c>
      <c r="N298" s="7"/>
      <c r="O298" s="12"/>
      <c r="Q298" s="65"/>
      <c r="W298" s="3"/>
      <c r="X298" s="3"/>
    </row>
    <row r="299" spans="1:24" customFormat="1">
      <c r="A299" s="3"/>
      <c r="B299" s="6"/>
      <c r="C299" s="7">
        <v>51</v>
      </c>
      <c r="D299" s="24">
        <f t="shared" si="39"/>
        <v>0</v>
      </c>
      <c r="E299" s="103">
        <f t="shared" si="41"/>
        <v>0</v>
      </c>
      <c r="F299" s="53"/>
      <c r="G299" s="24">
        <f t="shared" si="40"/>
        <v>0</v>
      </c>
      <c r="H299" s="15"/>
      <c r="I299" s="15"/>
      <c r="J299" s="24">
        <f t="shared" si="36"/>
        <v>0</v>
      </c>
      <c r="K299" s="51">
        <f>IF(L299=1,0,IF(SUM(K$253:K298)&gt;=Construction_Timeline,0,1))</f>
        <v>0</v>
      </c>
      <c r="L299" s="13">
        <f t="shared" si="42"/>
        <v>0</v>
      </c>
      <c r="M299" s="54">
        <f t="shared" si="38"/>
        <v>47574</v>
      </c>
      <c r="N299" s="7"/>
      <c r="O299" s="12"/>
      <c r="Q299" s="65"/>
      <c r="W299" s="3"/>
      <c r="X299" s="3"/>
    </row>
    <row r="300" spans="1:24" customFormat="1">
      <c r="A300" s="3"/>
      <c r="B300" s="6"/>
      <c r="C300" s="7">
        <v>52</v>
      </c>
      <c r="D300" s="24">
        <f t="shared" si="39"/>
        <v>0</v>
      </c>
      <c r="E300" s="103">
        <f t="shared" si="41"/>
        <v>0</v>
      </c>
      <c r="F300" s="53"/>
      <c r="G300" s="24">
        <f t="shared" si="40"/>
        <v>0</v>
      </c>
      <c r="H300" s="15"/>
      <c r="I300" s="15"/>
      <c r="J300" s="24">
        <f t="shared" si="36"/>
        <v>0</v>
      </c>
      <c r="K300" s="51">
        <f>IF(L300=1,0,IF(SUM(K$253:K299)&gt;=Construction_Timeline,0,1))</f>
        <v>0</v>
      </c>
      <c r="L300" s="13">
        <f t="shared" si="42"/>
        <v>0</v>
      </c>
      <c r="M300" s="54">
        <f t="shared" si="38"/>
        <v>47604</v>
      </c>
      <c r="N300" s="7"/>
      <c r="O300" s="12"/>
      <c r="Q300" s="65"/>
      <c r="W300" s="3"/>
      <c r="X300" s="3"/>
    </row>
    <row r="301" spans="1:24" customFormat="1">
      <c r="A301" s="3"/>
      <c r="B301" s="6"/>
      <c r="C301" s="7">
        <v>53</v>
      </c>
      <c r="D301" s="24">
        <f t="shared" si="39"/>
        <v>0</v>
      </c>
      <c r="E301" s="103">
        <f t="shared" si="41"/>
        <v>0</v>
      </c>
      <c r="F301" s="53"/>
      <c r="G301" s="24">
        <f t="shared" si="40"/>
        <v>0</v>
      </c>
      <c r="H301" s="15"/>
      <c r="I301" s="15"/>
      <c r="J301" s="24">
        <f t="shared" si="36"/>
        <v>0</v>
      </c>
      <c r="K301" s="51">
        <f>IF(L301=1,0,IF(SUM(K$253:K300)&gt;=Construction_Timeline,0,1))</f>
        <v>0</v>
      </c>
      <c r="L301" s="13">
        <f t="shared" si="42"/>
        <v>0</v>
      </c>
      <c r="M301" s="54">
        <f t="shared" si="38"/>
        <v>47635</v>
      </c>
      <c r="N301" s="7"/>
      <c r="O301" s="12"/>
      <c r="Q301" s="65"/>
      <c r="W301" s="3"/>
      <c r="X301" s="3"/>
    </row>
    <row r="302" spans="1:24" customFormat="1">
      <c r="A302" s="3"/>
      <c r="B302" s="6"/>
      <c r="C302" s="7">
        <v>54</v>
      </c>
      <c r="D302" s="24">
        <f t="shared" si="39"/>
        <v>0</v>
      </c>
      <c r="E302" s="103">
        <f t="shared" si="41"/>
        <v>0</v>
      </c>
      <c r="F302" s="53"/>
      <c r="G302" s="24">
        <f t="shared" si="40"/>
        <v>0</v>
      </c>
      <c r="H302" s="15"/>
      <c r="I302" s="15"/>
      <c r="J302" s="24">
        <f t="shared" si="36"/>
        <v>0</v>
      </c>
      <c r="K302" s="51">
        <f>IF(L302=1,0,IF(SUM(K$253:K301)&gt;=Construction_Timeline,0,1))</f>
        <v>0</v>
      </c>
      <c r="L302" s="13">
        <f t="shared" si="42"/>
        <v>0</v>
      </c>
      <c r="M302" s="54">
        <f t="shared" si="38"/>
        <v>47665</v>
      </c>
      <c r="N302" s="7"/>
      <c r="O302" s="12"/>
      <c r="Q302" s="65"/>
      <c r="W302" s="3"/>
      <c r="X302" s="3"/>
    </row>
    <row r="303" spans="1:24" customFormat="1">
      <c r="A303" s="3"/>
      <c r="B303" s="6"/>
      <c r="C303" s="7">
        <v>55</v>
      </c>
      <c r="D303" s="24">
        <f t="shared" si="39"/>
        <v>0</v>
      </c>
      <c r="E303" s="103">
        <f t="shared" si="41"/>
        <v>0</v>
      </c>
      <c r="F303" s="53"/>
      <c r="G303" s="24">
        <f t="shared" si="40"/>
        <v>0</v>
      </c>
      <c r="H303" s="15"/>
      <c r="I303" s="15"/>
      <c r="J303" s="24">
        <f t="shared" si="36"/>
        <v>0</v>
      </c>
      <c r="K303" s="51">
        <f>IF(L303=1,0,IF(SUM(K$253:K302)&gt;=Construction_Timeline,0,1))</f>
        <v>0</v>
      </c>
      <c r="L303" s="13">
        <f t="shared" si="42"/>
        <v>0</v>
      </c>
      <c r="M303" s="54">
        <f t="shared" si="38"/>
        <v>47696</v>
      </c>
      <c r="N303" s="7"/>
      <c r="O303" s="12"/>
      <c r="Q303" s="65"/>
      <c r="W303" s="3"/>
      <c r="X303" s="3"/>
    </row>
    <row r="304" spans="1:24" customFormat="1">
      <c r="A304" s="3"/>
      <c r="B304" s="6"/>
      <c r="C304" s="7">
        <v>56</v>
      </c>
      <c r="D304" s="24">
        <f t="shared" si="39"/>
        <v>0</v>
      </c>
      <c r="E304" s="103">
        <f t="shared" si="41"/>
        <v>0</v>
      </c>
      <c r="F304" s="53"/>
      <c r="G304" s="24">
        <f t="shared" si="40"/>
        <v>0</v>
      </c>
      <c r="H304" s="15"/>
      <c r="I304" s="15"/>
      <c r="J304" s="24">
        <f t="shared" si="36"/>
        <v>0</v>
      </c>
      <c r="K304" s="51">
        <f>IF(L304=1,0,IF(SUM(K$253:K303)&gt;=Construction_Timeline,0,1))</f>
        <v>0</v>
      </c>
      <c r="L304" s="13">
        <f t="shared" si="42"/>
        <v>0</v>
      </c>
      <c r="M304" s="54">
        <f t="shared" si="38"/>
        <v>47727</v>
      </c>
      <c r="N304" s="7"/>
      <c r="O304" s="12"/>
      <c r="Q304" s="65"/>
      <c r="W304" s="3"/>
      <c r="X304" s="3"/>
    </row>
    <row r="305" spans="1:24" customFormat="1">
      <c r="A305" s="3"/>
      <c r="B305" s="6"/>
      <c r="C305" s="7">
        <v>57</v>
      </c>
      <c r="D305" s="24">
        <f t="shared" si="39"/>
        <v>0</v>
      </c>
      <c r="E305" s="103">
        <f t="shared" si="41"/>
        <v>0</v>
      </c>
      <c r="F305" s="53"/>
      <c r="G305" s="24">
        <f t="shared" si="40"/>
        <v>0</v>
      </c>
      <c r="H305" s="15"/>
      <c r="I305" s="15"/>
      <c r="J305" s="24">
        <f t="shared" si="36"/>
        <v>0</v>
      </c>
      <c r="K305" s="51">
        <f>IF(L305=1,0,IF(SUM(K$253:K304)&gt;=Construction_Timeline,0,1))</f>
        <v>0</v>
      </c>
      <c r="L305" s="13">
        <f t="shared" si="42"/>
        <v>0</v>
      </c>
      <c r="M305" s="54">
        <f t="shared" si="38"/>
        <v>47757</v>
      </c>
      <c r="N305" s="7"/>
      <c r="O305" s="12"/>
      <c r="Q305" s="65"/>
      <c r="W305" s="3"/>
      <c r="X305" s="3"/>
    </row>
    <row r="306" spans="1:24" customFormat="1">
      <c r="A306" s="3"/>
      <c r="B306" s="6"/>
      <c r="C306" s="7">
        <v>58</v>
      </c>
      <c r="D306" s="24">
        <f t="shared" si="39"/>
        <v>0</v>
      </c>
      <c r="E306" s="103">
        <f t="shared" si="41"/>
        <v>0</v>
      </c>
      <c r="F306" s="53"/>
      <c r="G306" s="24">
        <f t="shared" si="40"/>
        <v>0</v>
      </c>
      <c r="H306" s="15"/>
      <c r="I306" s="15"/>
      <c r="J306" s="24">
        <f t="shared" si="36"/>
        <v>0</v>
      </c>
      <c r="K306" s="51">
        <f>IF(L306=1,0,IF(SUM(K$253:K305)&gt;=Construction_Timeline,0,1))</f>
        <v>0</v>
      </c>
      <c r="L306" s="13">
        <f t="shared" si="42"/>
        <v>0</v>
      </c>
      <c r="M306" s="54">
        <f t="shared" si="38"/>
        <v>47788</v>
      </c>
      <c r="N306" s="7"/>
      <c r="O306" s="12"/>
      <c r="Q306" s="65"/>
      <c r="W306" s="3"/>
      <c r="X306" s="3"/>
    </row>
    <row r="307" spans="1:24" customFormat="1">
      <c r="A307" s="3"/>
      <c r="B307" s="6"/>
      <c r="C307" s="7">
        <v>59</v>
      </c>
      <c r="D307" s="24">
        <f t="shared" si="39"/>
        <v>0</v>
      </c>
      <c r="E307" s="103">
        <f t="shared" si="41"/>
        <v>0</v>
      </c>
      <c r="F307" s="53"/>
      <c r="G307" s="24">
        <f t="shared" si="40"/>
        <v>0</v>
      </c>
      <c r="H307" s="15"/>
      <c r="I307" s="15"/>
      <c r="J307" s="24">
        <f t="shared" si="36"/>
        <v>0</v>
      </c>
      <c r="K307" s="51">
        <f>IF(L307=1,0,IF(SUM(K$253:K306)&gt;=Construction_Timeline,0,1))</f>
        <v>0</v>
      </c>
      <c r="L307" s="13">
        <f t="shared" si="42"/>
        <v>0</v>
      </c>
      <c r="M307" s="54">
        <f t="shared" si="38"/>
        <v>47818</v>
      </c>
      <c r="N307" s="7"/>
      <c r="O307" s="12"/>
      <c r="Q307" s="65"/>
      <c r="W307" s="3"/>
      <c r="X307" s="3"/>
    </row>
    <row r="308" spans="1:24" customFormat="1">
      <c r="A308" s="3"/>
      <c r="B308" s="6"/>
      <c r="C308" s="7">
        <v>60</v>
      </c>
      <c r="D308" s="24">
        <f t="shared" si="39"/>
        <v>0</v>
      </c>
      <c r="E308" s="103">
        <f t="shared" si="41"/>
        <v>0</v>
      </c>
      <c r="F308" s="53"/>
      <c r="G308" s="24">
        <f t="shared" si="40"/>
        <v>0</v>
      </c>
      <c r="H308" s="15"/>
      <c r="I308" s="15"/>
      <c r="J308" s="24">
        <f t="shared" si="36"/>
        <v>0</v>
      </c>
      <c r="K308" s="51">
        <f>IF(L308=1,0,IF(SUM(K$253:K307)&gt;=Construction_Timeline,0,1))</f>
        <v>0</v>
      </c>
      <c r="L308" s="13">
        <f t="shared" si="42"/>
        <v>0</v>
      </c>
      <c r="M308" s="54">
        <f t="shared" si="38"/>
        <v>47849</v>
      </c>
      <c r="N308" s="7"/>
      <c r="O308" s="12"/>
      <c r="Q308" s="65"/>
      <c r="W308" s="3"/>
      <c r="X308" s="3"/>
    </row>
    <row r="309" spans="1:24" customFormat="1">
      <c r="A309" s="3"/>
      <c r="B309" s="6"/>
      <c r="C309" s="7">
        <v>61</v>
      </c>
      <c r="D309" s="24">
        <f t="shared" si="39"/>
        <v>0</v>
      </c>
      <c r="E309" s="103">
        <f t="shared" si="41"/>
        <v>0</v>
      </c>
      <c r="F309" s="53"/>
      <c r="G309" s="24">
        <f t="shared" si="40"/>
        <v>0</v>
      </c>
      <c r="H309" s="15"/>
      <c r="I309" s="15"/>
      <c r="J309" s="24">
        <f t="shared" si="36"/>
        <v>0</v>
      </c>
      <c r="K309" s="51">
        <f>IF(L309=1,0,IF(SUM(K$253:K308)&gt;=Construction_Timeline,0,1))</f>
        <v>0</v>
      </c>
      <c r="L309" s="13">
        <f t="shared" si="42"/>
        <v>0</v>
      </c>
      <c r="M309" s="54">
        <f t="shared" si="38"/>
        <v>47880</v>
      </c>
      <c r="N309" s="7"/>
      <c r="O309" s="12"/>
      <c r="Q309" s="65"/>
      <c r="W309" s="3"/>
      <c r="X309" s="3"/>
    </row>
    <row r="310" spans="1:24" customFormat="1">
      <c r="A310" s="3"/>
      <c r="B310" s="6"/>
      <c r="C310" s="7">
        <v>62</v>
      </c>
      <c r="D310" s="24">
        <f t="shared" si="39"/>
        <v>0</v>
      </c>
      <c r="E310" s="103">
        <f t="shared" si="41"/>
        <v>0</v>
      </c>
      <c r="F310" s="53"/>
      <c r="G310" s="24">
        <f t="shared" si="40"/>
        <v>0</v>
      </c>
      <c r="H310" s="15"/>
      <c r="I310" s="15"/>
      <c r="J310" s="24">
        <f t="shared" si="36"/>
        <v>0</v>
      </c>
      <c r="K310" s="51">
        <f>IF(L310=1,0,IF(SUM(K$253:K309)&gt;=Construction_Timeline,0,1))</f>
        <v>0</v>
      </c>
      <c r="L310" s="13">
        <f t="shared" si="42"/>
        <v>0</v>
      </c>
      <c r="M310" s="54">
        <f t="shared" si="38"/>
        <v>47908</v>
      </c>
      <c r="N310" s="7"/>
      <c r="O310" s="12"/>
      <c r="Q310" s="65"/>
      <c r="W310" s="3"/>
      <c r="X310" s="3"/>
    </row>
    <row r="311" spans="1:24" customFormat="1">
      <c r="A311" s="3"/>
      <c r="B311" s="6"/>
      <c r="C311" s="7">
        <v>63</v>
      </c>
      <c r="D311" s="24">
        <f t="shared" si="39"/>
        <v>0</v>
      </c>
      <c r="E311" s="103">
        <f t="shared" si="41"/>
        <v>0</v>
      </c>
      <c r="F311" s="53"/>
      <c r="G311" s="24">
        <f t="shared" si="40"/>
        <v>0</v>
      </c>
      <c r="H311" s="15"/>
      <c r="I311" s="15"/>
      <c r="J311" s="24">
        <f t="shared" si="36"/>
        <v>0</v>
      </c>
      <c r="K311" s="51">
        <f>IF(L311=1,0,IF(SUM(K$253:K310)&gt;=Construction_Timeline,0,1))</f>
        <v>0</v>
      </c>
      <c r="L311" s="13">
        <f t="shared" si="42"/>
        <v>0</v>
      </c>
      <c r="M311" s="54">
        <f t="shared" si="38"/>
        <v>47939</v>
      </c>
      <c r="N311" s="7"/>
      <c r="O311" s="12"/>
      <c r="Q311" s="65"/>
      <c r="W311" s="3"/>
      <c r="X311" s="3"/>
    </row>
    <row r="312" spans="1:24" customFormat="1">
      <c r="A312" s="3"/>
      <c r="B312" s="6"/>
      <c r="C312" s="7">
        <v>64</v>
      </c>
      <c r="D312" s="24">
        <f t="shared" ref="D312:D343" si="43">IF(K312=1,-Construction_Costs/Construction_Timeline,0)</f>
        <v>0</v>
      </c>
      <c r="E312" s="103">
        <f t="shared" si="41"/>
        <v>0</v>
      </c>
      <c r="F312" s="53"/>
      <c r="G312" s="24">
        <f t="shared" ref="G312:G343" si="44">IF(C312=SUM(Month_of_Sale,PreDev_Timeline,Construction_Timeline),Sale_Price*(1-D$44),0)</f>
        <v>0</v>
      </c>
      <c r="H312" s="15"/>
      <c r="I312" s="15"/>
      <c r="J312" s="24">
        <f t="shared" si="36"/>
        <v>0</v>
      </c>
      <c r="K312" s="51">
        <f>IF(L312=1,0,IF(SUM(K$253:K311)&gt;=Construction_Timeline,0,1))</f>
        <v>0</v>
      </c>
      <c r="L312" s="13">
        <f t="shared" si="42"/>
        <v>0</v>
      </c>
      <c r="M312" s="54">
        <f t="shared" si="38"/>
        <v>47969</v>
      </c>
      <c r="N312" s="7"/>
      <c r="O312" s="12"/>
      <c r="Q312" s="65"/>
      <c r="W312" s="3"/>
      <c r="X312" s="3"/>
    </row>
    <row r="313" spans="1:24" customFormat="1">
      <c r="A313" s="3"/>
      <c r="B313" s="6"/>
      <c r="C313" s="7">
        <v>65</v>
      </c>
      <c r="D313" s="24">
        <f t="shared" si="43"/>
        <v>0</v>
      </c>
      <c r="E313" s="103">
        <f t="shared" ref="E313:E344" si="45">-Pre_Development_Costs/PreDev_Timeline*L313</f>
        <v>0</v>
      </c>
      <c r="F313" s="53"/>
      <c r="G313" s="24">
        <f t="shared" si="44"/>
        <v>0</v>
      </c>
      <c r="H313" s="15"/>
      <c r="I313" s="15"/>
      <c r="J313" s="24">
        <f t="shared" ref="J313:J376" si="46">SUM(D313:G313)</f>
        <v>0</v>
      </c>
      <c r="K313" s="51">
        <f>IF(L313=1,0,IF(SUM(K$253:K312)&gt;=Construction_Timeline,0,1))</f>
        <v>0</v>
      </c>
      <c r="L313" s="13">
        <f t="shared" ref="L313:L344" si="47">IF(C313&lt;=PreDev_Timeline,1,0)</f>
        <v>0</v>
      </c>
      <c r="M313" s="54">
        <f t="shared" si="38"/>
        <v>48000</v>
      </c>
      <c r="N313" s="7"/>
      <c r="O313" s="12"/>
      <c r="Q313" s="65"/>
      <c r="W313" s="3"/>
      <c r="X313" s="3"/>
    </row>
    <row r="314" spans="1:24" customFormat="1">
      <c r="A314" s="3"/>
      <c r="B314" s="6"/>
      <c r="C314" s="7">
        <v>66</v>
      </c>
      <c r="D314" s="24">
        <f t="shared" si="43"/>
        <v>0</v>
      </c>
      <c r="E314" s="103">
        <f t="shared" si="45"/>
        <v>0</v>
      </c>
      <c r="F314" s="53"/>
      <c r="G314" s="24">
        <f t="shared" si="44"/>
        <v>0</v>
      </c>
      <c r="H314" s="15"/>
      <c r="I314" s="15"/>
      <c r="J314" s="24">
        <f t="shared" si="46"/>
        <v>0</v>
      </c>
      <c r="K314" s="51">
        <f>IF(L314=1,0,IF(SUM(K$253:K313)&gt;=Construction_Timeline,0,1))</f>
        <v>0</v>
      </c>
      <c r="L314" s="13">
        <f t="shared" si="47"/>
        <v>0</v>
      </c>
      <c r="M314" s="54">
        <f t="shared" ref="M314:M377" si="48">EDATE(M313,1)</f>
        <v>48030</v>
      </c>
      <c r="N314" s="7"/>
      <c r="O314" s="12"/>
      <c r="Q314" s="65"/>
      <c r="W314" s="3"/>
      <c r="X314" s="3"/>
    </row>
    <row r="315" spans="1:24" customFormat="1">
      <c r="A315" s="3"/>
      <c r="B315" s="6"/>
      <c r="C315" s="7">
        <v>67</v>
      </c>
      <c r="D315" s="24">
        <f t="shared" si="43"/>
        <v>0</v>
      </c>
      <c r="E315" s="103">
        <f t="shared" si="45"/>
        <v>0</v>
      </c>
      <c r="F315" s="53"/>
      <c r="G315" s="24">
        <f t="shared" si="44"/>
        <v>0</v>
      </c>
      <c r="H315" s="15"/>
      <c r="I315" s="15"/>
      <c r="J315" s="24">
        <f t="shared" si="46"/>
        <v>0</v>
      </c>
      <c r="K315" s="51">
        <f>IF(L315=1,0,IF(SUM(K$253:K314)&gt;=Construction_Timeline,0,1))</f>
        <v>0</v>
      </c>
      <c r="L315" s="13">
        <f t="shared" si="47"/>
        <v>0</v>
      </c>
      <c r="M315" s="54">
        <f t="shared" si="48"/>
        <v>48061</v>
      </c>
      <c r="N315" s="7"/>
      <c r="O315" s="12"/>
      <c r="Q315" s="65"/>
      <c r="W315" s="3"/>
      <c r="X315" s="3"/>
    </row>
    <row r="316" spans="1:24" customFormat="1">
      <c r="A316" s="3"/>
      <c r="B316" s="6"/>
      <c r="C316" s="7">
        <v>68</v>
      </c>
      <c r="D316" s="24">
        <f t="shared" si="43"/>
        <v>0</v>
      </c>
      <c r="E316" s="103">
        <f t="shared" si="45"/>
        <v>0</v>
      </c>
      <c r="F316" s="53"/>
      <c r="G316" s="24">
        <f t="shared" si="44"/>
        <v>0</v>
      </c>
      <c r="H316" s="15"/>
      <c r="I316" s="15"/>
      <c r="J316" s="24">
        <f t="shared" si="46"/>
        <v>0</v>
      </c>
      <c r="K316" s="51">
        <f>IF(L316=1,0,IF(SUM(K$253:K315)&gt;=Construction_Timeline,0,1))</f>
        <v>0</v>
      </c>
      <c r="L316" s="13">
        <f t="shared" si="47"/>
        <v>0</v>
      </c>
      <c r="M316" s="54">
        <f t="shared" si="48"/>
        <v>48092</v>
      </c>
      <c r="N316" s="7"/>
      <c r="O316" s="12"/>
      <c r="Q316" s="65"/>
      <c r="W316" s="3"/>
      <c r="X316" s="3"/>
    </row>
    <row r="317" spans="1:24" customFormat="1">
      <c r="A317" s="3"/>
      <c r="B317" s="6"/>
      <c r="C317" s="7">
        <v>69</v>
      </c>
      <c r="D317" s="24">
        <f t="shared" si="43"/>
        <v>0</v>
      </c>
      <c r="E317" s="103">
        <f t="shared" si="45"/>
        <v>0</v>
      </c>
      <c r="F317" s="53"/>
      <c r="G317" s="24">
        <f t="shared" si="44"/>
        <v>0</v>
      </c>
      <c r="H317" s="15"/>
      <c r="I317" s="15"/>
      <c r="J317" s="24">
        <f t="shared" si="46"/>
        <v>0</v>
      </c>
      <c r="K317" s="51">
        <f>IF(L317=1,0,IF(SUM(K$253:K316)&gt;=Construction_Timeline,0,1))</f>
        <v>0</v>
      </c>
      <c r="L317" s="13">
        <f t="shared" si="47"/>
        <v>0</v>
      </c>
      <c r="M317" s="54">
        <f t="shared" si="48"/>
        <v>48122</v>
      </c>
      <c r="N317" s="7"/>
      <c r="O317" s="12"/>
      <c r="Q317" s="65"/>
      <c r="W317" s="3"/>
      <c r="X317" s="3"/>
    </row>
    <row r="318" spans="1:24" customFormat="1">
      <c r="A318" s="3"/>
      <c r="B318" s="6"/>
      <c r="C318" s="7">
        <v>70</v>
      </c>
      <c r="D318" s="24">
        <f t="shared" si="43"/>
        <v>0</v>
      </c>
      <c r="E318" s="103">
        <f t="shared" si="45"/>
        <v>0</v>
      </c>
      <c r="F318" s="53"/>
      <c r="G318" s="24">
        <f t="shared" si="44"/>
        <v>0</v>
      </c>
      <c r="H318" s="15"/>
      <c r="I318" s="15"/>
      <c r="J318" s="24">
        <f t="shared" si="46"/>
        <v>0</v>
      </c>
      <c r="K318" s="51">
        <f>IF(L318=1,0,IF(SUM(K$253:K317)&gt;=Construction_Timeline,0,1))</f>
        <v>0</v>
      </c>
      <c r="L318" s="13">
        <f t="shared" si="47"/>
        <v>0</v>
      </c>
      <c r="M318" s="54">
        <f t="shared" si="48"/>
        <v>48153</v>
      </c>
      <c r="N318" s="7"/>
      <c r="O318" s="12"/>
      <c r="Q318" s="65"/>
      <c r="W318" s="3"/>
      <c r="X318" s="3"/>
    </row>
    <row r="319" spans="1:24" customFormat="1">
      <c r="A319" s="3"/>
      <c r="B319" s="6"/>
      <c r="C319" s="7">
        <v>71</v>
      </c>
      <c r="D319" s="24">
        <f t="shared" si="43"/>
        <v>0</v>
      </c>
      <c r="E319" s="103">
        <f t="shared" si="45"/>
        <v>0</v>
      </c>
      <c r="F319" s="53"/>
      <c r="G319" s="24">
        <f t="shared" si="44"/>
        <v>0</v>
      </c>
      <c r="H319" s="15"/>
      <c r="I319" s="15"/>
      <c r="J319" s="24">
        <f t="shared" si="46"/>
        <v>0</v>
      </c>
      <c r="K319" s="51">
        <f>IF(L319=1,0,IF(SUM(K$253:K318)&gt;=Construction_Timeline,0,1))</f>
        <v>0</v>
      </c>
      <c r="L319" s="13">
        <f t="shared" si="47"/>
        <v>0</v>
      </c>
      <c r="M319" s="54">
        <f t="shared" si="48"/>
        <v>48183</v>
      </c>
      <c r="N319" s="7"/>
      <c r="O319" s="12"/>
      <c r="Q319" s="65"/>
      <c r="W319" s="3"/>
      <c r="X319" s="3"/>
    </row>
    <row r="320" spans="1:24" customFormat="1">
      <c r="A320" s="3"/>
      <c r="B320" s="6"/>
      <c r="C320" s="7">
        <v>72</v>
      </c>
      <c r="D320" s="24">
        <f t="shared" si="43"/>
        <v>0</v>
      </c>
      <c r="E320" s="103">
        <f t="shared" si="45"/>
        <v>0</v>
      </c>
      <c r="F320" s="53"/>
      <c r="G320" s="24">
        <f t="shared" si="44"/>
        <v>0</v>
      </c>
      <c r="H320" s="15"/>
      <c r="I320" s="15"/>
      <c r="J320" s="24">
        <f t="shared" si="46"/>
        <v>0</v>
      </c>
      <c r="K320" s="51">
        <f>IF(L320=1,0,IF(SUM(K$253:K319)&gt;=Construction_Timeline,0,1))</f>
        <v>0</v>
      </c>
      <c r="L320" s="13">
        <f t="shared" si="47"/>
        <v>0</v>
      </c>
      <c r="M320" s="54">
        <f t="shared" si="48"/>
        <v>48214</v>
      </c>
      <c r="N320" s="7"/>
      <c r="O320" s="12"/>
      <c r="Q320" s="65"/>
      <c r="W320" s="3"/>
      <c r="X320" s="3"/>
    </row>
    <row r="321" spans="1:24" customFormat="1">
      <c r="A321" s="3"/>
      <c r="B321" s="6"/>
      <c r="C321" s="7">
        <v>73</v>
      </c>
      <c r="D321" s="24">
        <f t="shared" si="43"/>
        <v>0</v>
      </c>
      <c r="E321" s="103">
        <f t="shared" si="45"/>
        <v>0</v>
      </c>
      <c r="F321" s="53"/>
      <c r="G321" s="24">
        <f t="shared" si="44"/>
        <v>0</v>
      </c>
      <c r="H321" s="15"/>
      <c r="I321" s="15"/>
      <c r="J321" s="24">
        <f t="shared" si="46"/>
        <v>0</v>
      </c>
      <c r="K321" s="51">
        <f>IF(L321=1,0,IF(SUM(K$253:K320)&gt;=Construction_Timeline,0,1))</f>
        <v>0</v>
      </c>
      <c r="L321" s="13">
        <f t="shared" si="47"/>
        <v>0</v>
      </c>
      <c r="M321" s="54">
        <f t="shared" si="48"/>
        <v>48245</v>
      </c>
      <c r="N321" s="7"/>
      <c r="O321" s="12"/>
      <c r="Q321" s="65"/>
      <c r="W321" s="3"/>
      <c r="X321" s="3"/>
    </row>
    <row r="322" spans="1:24" customFormat="1">
      <c r="A322" s="3"/>
      <c r="B322" s="6"/>
      <c r="C322" s="7">
        <v>74</v>
      </c>
      <c r="D322" s="24">
        <f t="shared" si="43"/>
        <v>0</v>
      </c>
      <c r="E322" s="103">
        <f t="shared" si="45"/>
        <v>0</v>
      </c>
      <c r="F322" s="53"/>
      <c r="G322" s="24">
        <f t="shared" si="44"/>
        <v>0</v>
      </c>
      <c r="H322" s="15"/>
      <c r="I322" s="15"/>
      <c r="J322" s="24">
        <f t="shared" si="46"/>
        <v>0</v>
      </c>
      <c r="K322" s="51">
        <f>IF(L322=1,0,IF(SUM(K$253:K321)&gt;=Construction_Timeline,0,1))</f>
        <v>0</v>
      </c>
      <c r="L322" s="13">
        <f t="shared" si="47"/>
        <v>0</v>
      </c>
      <c r="M322" s="54">
        <f t="shared" si="48"/>
        <v>48274</v>
      </c>
      <c r="N322" s="7"/>
      <c r="O322" s="12"/>
      <c r="Q322" s="65"/>
      <c r="W322" s="3"/>
      <c r="X322" s="3"/>
    </row>
    <row r="323" spans="1:24" customFormat="1">
      <c r="A323" s="3"/>
      <c r="B323" s="6"/>
      <c r="C323" s="7">
        <v>75</v>
      </c>
      <c r="D323" s="24">
        <f t="shared" si="43"/>
        <v>0</v>
      </c>
      <c r="E323" s="103">
        <f t="shared" si="45"/>
        <v>0</v>
      </c>
      <c r="F323" s="53"/>
      <c r="G323" s="24">
        <f t="shared" si="44"/>
        <v>0</v>
      </c>
      <c r="H323" s="15"/>
      <c r="I323" s="15"/>
      <c r="J323" s="24">
        <f t="shared" si="46"/>
        <v>0</v>
      </c>
      <c r="K323" s="51">
        <f>IF(L323=1,0,IF(SUM(K$253:K322)&gt;=Construction_Timeline,0,1))</f>
        <v>0</v>
      </c>
      <c r="L323" s="13">
        <f t="shared" si="47"/>
        <v>0</v>
      </c>
      <c r="M323" s="54">
        <f t="shared" si="48"/>
        <v>48305</v>
      </c>
      <c r="N323" s="7"/>
      <c r="O323" s="12"/>
      <c r="Q323" s="65"/>
      <c r="W323" s="3"/>
      <c r="X323" s="3"/>
    </row>
    <row r="324" spans="1:24" customFormat="1">
      <c r="A324" s="3"/>
      <c r="B324" s="6"/>
      <c r="C324" s="7">
        <v>76</v>
      </c>
      <c r="D324" s="24">
        <f t="shared" si="43"/>
        <v>0</v>
      </c>
      <c r="E324" s="103">
        <f t="shared" si="45"/>
        <v>0</v>
      </c>
      <c r="F324" s="53"/>
      <c r="G324" s="24">
        <f t="shared" si="44"/>
        <v>0</v>
      </c>
      <c r="H324" s="15"/>
      <c r="I324" s="15"/>
      <c r="J324" s="24">
        <f t="shared" si="46"/>
        <v>0</v>
      </c>
      <c r="K324" s="51">
        <f>IF(L324=1,0,IF(SUM(K$253:K323)&gt;=Construction_Timeline,0,1))</f>
        <v>0</v>
      </c>
      <c r="L324" s="13">
        <f t="shared" si="47"/>
        <v>0</v>
      </c>
      <c r="M324" s="54">
        <f t="shared" si="48"/>
        <v>48335</v>
      </c>
      <c r="N324" s="7"/>
      <c r="O324" s="12"/>
      <c r="Q324" s="65"/>
      <c r="W324" s="3"/>
      <c r="X324" s="3"/>
    </row>
    <row r="325" spans="1:24" customFormat="1">
      <c r="A325" s="3"/>
      <c r="B325" s="6"/>
      <c r="C325" s="7">
        <v>77</v>
      </c>
      <c r="D325" s="24">
        <f t="shared" si="43"/>
        <v>0</v>
      </c>
      <c r="E325" s="103">
        <f t="shared" si="45"/>
        <v>0</v>
      </c>
      <c r="F325" s="53"/>
      <c r="G325" s="24">
        <f t="shared" si="44"/>
        <v>0</v>
      </c>
      <c r="H325" s="15"/>
      <c r="I325" s="15"/>
      <c r="J325" s="24">
        <f t="shared" si="46"/>
        <v>0</v>
      </c>
      <c r="K325" s="51">
        <f>IF(L325=1,0,IF(SUM(K$253:K324)&gt;=Construction_Timeline,0,1))</f>
        <v>0</v>
      </c>
      <c r="L325" s="13">
        <f t="shared" si="47"/>
        <v>0</v>
      </c>
      <c r="M325" s="54">
        <f t="shared" si="48"/>
        <v>48366</v>
      </c>
      <c r="N325" s="7"/>
      <c r="O325" s="12"/>
      <c r="Q325" s="65"/>
      <c r="W325" s="3"/>
      <c r="X325" s="3"/>
    </row>
    <row r="326" spans="1:24" customFormat="1">
      <c r="A326" s="3"/>
      <c r="B326" s="6"/>
      <c r="C326" s="7">
        <v>78</v>
      </c>
      <c r="D326" s="24">
        <f t="shared" si="43"/>
        <v>0</v>
      </c>
      <c r="E326" s="103">
        <f t="shared" si="45"/>
        <v>0</v>
      </c>
      <c r="F326" s="53"/>
      <c r="G326" s="24">
        <f t="shared" si="44"/>
        <v>0</v>
      </c>
      <c r="H326" s="15"/>
      <c r="I326" s="15"/>
      <c r="J326" s="24">
        <f t="shared" si="46"/>
        <v>0</v>
      </c>
      <c r="K326" s="51">
        <f>IF(L326=1,0,IF(SUM(K$253:K325)&gt;=Construction_Timeline,0,1))</f>
        <v>0</v>
      </c>
      <c r="L326" s="13">
        <f t="shared" si="47"/>
        <v>0</v>
      </c>
      <c r="M326" s="54">
        <f t="shared" si="48"/>
        <v>48396</v>
      </c>
      <c r="N326" s="7"/>
      <c r="O326" s="12"/>
      <c r="Q326" s="65"/>
      <c r="W326" s="3"/>
      <c r="X326" s="3"/>
    </row>
    <row r="327" spans="1:24" customFormat="1">
      <c r="A327" s="3"/>
      <c r="B327" s="6"/>
      <c r="C327" s="7">
        <v>79</v>
      </c>
      <c r="D327" s="24">
        <f t="shared" si="43"/>
        <v>0</v>
      </c>
      <c r="E327" s="103">
        <f t="shared" si="45"/>
        <v>0</v>
      </c>
      <c r="F327" s="53"/>
      <c r="G327" s="24">
        <f t="shared" si="44"/>
        <v>0</v>
      </c>
      <c r="H327" s="15"/>
      <c r="I327" s="15"/>
      <c r="J327" s="24">
        <f t="shared" si="46"/>
        <v>0</v>
      </c>
      <c r="K327" s="51">
        <f>IF(L327=1,0,IF(SUM(K$253:K326)&gt;=Construction_Timeline,0,1))</f>
        <v>0</v>
      </c>
      <c r="L327" s="13">
        <f t="shared" si="47"/>
        <v>0</v>
      </c>
      <c r="M327" s="54">
        <f t="shared" si="48"/>
        <v>48427</v>
      </c>
      <c r="N327" s="7"/>
      <c r="O327" s="12"/>
      <c r="Q327" s="65"/>
      <c r="W327" s="3"/>
      <c r="X327" s="3"/>
    </row>
    <row r="328" spans="1:24" customFormat="1">
      <c r="A328" s="3"/>
      <c r="B328" s="6"/>
      <c r="C328" s="7">
        <v>80</v>
      </c>
      <c r="D328" s="24">
        <f t="shared" si="43"/>
        <v>0</v>
      </c>
      <c r="E328" s="103">
        <f t="shared" si="45"/>
        <v>0</v>
      </c>
      <c r="F328" s="53"/>
      <c r="G328" s="24">
        <f t="shared" si="44"/>
        <v>0</v>
      </c>
      <c r="H328" s="15"/>
      <c r="I328" s="15"/>
      <c r="J328" s="24">
        <f t="shared" si="46"/>
        <v>0</v>
      </c>
      <c r="K328" s="51">
        <f>IF(L328=1,0,IF(SUM(K$253:K327)&gt;=Construction_Timeline,0,1))</f>
        <v>0</v>
      </c>
      <c r="L328" s="13">
        <f t="shared" si="47"/>
        <v>0</v>
      </c>
      <c r="M328" s="54">
        <f t="shared" si="48"/>
        <v>48458</v>
      </c>
      <c r="N328" s="7"/>
      <c r="O328" s="12"/>
      <c r="Q328" s="65"/>
      <c r="W328" s="3"/>
      <c r="X328" s="3"/>
    </row>
    <row r="329" spans="1:24" customFormat="1">
      <c r="A329" s="3"/>
      <c r="B329" s="6"/>
      <c r="C329" s="7">
        <v>81</v>
      </c>
      <c r="D329" s="24">
        <f t="shared" si="43"/>
        <v>0</v>
      </c>
      <c r="E329" s="103">
        <f t="shared" si="45"/>
        <v>0</v>
      </c>
      <c r="F329" s="53"/>
      <c r="G329" s="24">
        <f t="shared" si="44"/>
        <v>0</v>
      </c>
      <c r="H329" s="15"/>
      <c r="I329" s="15"/>
      <c r="J329" s="24">
        <f t="shared" si="46"/>
        <v>0</v>
      </c>
      <c r="K329" s="51">
        <f>IF(L329=1,0,IF(SUM(K$253:K328)&gt;=Construction_Timeline,0,1))</f>
        <v>0</v>
      </c>
      <c r="L329" s="13">
        <f t="shared" si="47"/>
        <v>0</v>
      </c>
      <c r="M329" s="54">
        <f t="shared" si="48"/>
        <v>48488</v>
      </c>
      <c r="N329" s="7"/>
      <c r="O329" s="12"/>
      <c r="Q329" s="65"/>
      <c r="W329" s="3"/>
      <c r="X329" s="3"/>
    </row>
    <row r="330" spans="1:24" customFormat="1">
      <c r="A330" s="3"/>
      <c r="B330" s="6"/>
      <c r="C330" s="7">
        <v>82</v>
      </c>
      <c r="D330" s="24">
        <f t="shared" si="43"/>
        <v>0</v>
      </c>
      <c r="E330" s="103">
        <f t="shared" si="45"/>
        <v>0</v>
      </c>
      <c r="F330" s="53"/>
      <c r="G330" s="24">
        <f t="shared" si="44"/>
        <v>0</v>
      </c>
      <c r="H330" s="15"/>
      <c r="I330" s="15"/>
      <c r="J330" s="24">
        <f t="shared" si="46"/>
        <v>0</v>
      </c>
      <c r="K330" s="51">
        <f>IF(L330=1,0,IF(SUM(K$253:K329)&gt;=Construction_Timeline,0,1))</f>
        <v>0</v>
      </c>
      <c r="L330" s="13">
        <f t="shared" si="47"/>
        <v>0</v>
      </c>
      <c r="M330" s="54">
        <f t="shared" si="48"/>
        <v>48519</v>
      </c>
      <c r="N330" s="7"/>
      <c r="O330" s="12"/>
      <c r="Q330" s="65"/>
      <c r="W330" s="3"/>
      <c r="X330" s="3"/>
    </row>
    <row r="331" spans="1:24" customFormat="1">
      <c r="A331" s="3"/>
      <c r="B331" s="6"/>
      <c r="C331" s="7">
        <v>83</v>
      </c>
      <c r="D331" s="24">
        <f t="shared" si="43"/>
        <v>0</v>
      </c>
      <c r="E331" s="103">
        <f t="shared" si="45"/>
        <v>0</v>
      </c>
      <c r="F331" s="53"/>
      <c r="G331" s="24">
        <f t="shared" si="44"/>
        <v>0</v>
      </c>
      <c r="H331" s="15"/>
      <c r="I331" s="15"/>
      <c r="J331" s="24">
        <f t="shared" si="46"/>
        <v>0</v>
      </c>
      <c r="K331" s="51">
        <f>IF(L331=1,0,IF(SUM(K$253:K330)&gt;=Construction_Timeline,0,1))</f>
        <v>0</v>
      </c>
      <c r="L331" s="13">
        <f t="shared" si="47"/>
        <v>0</v>
      </c>
      <c r="M331" s="54">
        <f t="shared" si="48"/>
        <v>48549</v>
      </c>
      <c r="N331" s="7"/>
      <c r="O331" s="12"/>
      <c r="Q331" s="65"/>
      <c r="W331" s="3"/>
      <c r="X331" s="3"/>
    </row>
    <row r="332" spans="1:24" customFormat="1">
      <c r="A332" s="3"/>
      <c r="B332" s="6"/>
      <c r="C332" s="7">
        <v>84</v>
      </c>
      <c r="D332" s="24">
        <f t="shared" si="43"/>
        <v>0</v>
      </c>
      <c r="E332" s="103">
        <f t="shared" si="45"/>
        <v>0</v>
      </c>
      <c r="F332" s="53"/>
      <c r="G332" s="24">
        <f t="shared" si="44"/>
        <v>0</v>
      </c>
      <c r="H332" s="15"/>
      <c r="I332" s="15"/>
      <c r="J332" s="24">
        <f t="shared" si="46"/>
        <v>0</v>
      </c>
      <c r="K332" s="51">
        <f>IF(L332=1,0,IF(SUM(K$253:K331)&gt;=Construction_Timeline,0,1))</f>
        <v>0</v>
      </c>
      <c r="L332" s="13">
        <f t="shared" si="47"/>
        <v>0</v>
      </c>
      <c r="M332" s="54">
        <f t="shared" si="48"/>
        <v>48580</v>
      </c>
      <c r="N332" s="7"/>
      <c r="O332" s="12"/>
      <c r="Q332" s="65"/>
      <c r="W332" s="3"/>
      <c r="X332" s="3"/>
    </row>
    <row r="333" spans="1:24" customFormat="1">
      <c r="A333" s="3"/>
      <c r="B333" s="6"/>
      <c r="C333" s="7">
        <v>85</v>
      </c>
      <c r="D333" s="24">
        <f t="shared" si="43"/>
        <v>0</v>
      </c>
      <c r="E333" s="103">
        <f t="shared" si="45"/>
        <v>0</v>
      </c>
      <c r="F333" s="53"/>
      <c r="G333" s="24">
        <f t="shared" si="44"/>
        <v>0</v>
      </c>
      <c r="H333" s="15"/>
      <c r="I333" s="15"/>
      <c r="J333" s="24">
        <f t="shared" si="46"/>
        <v>0</v>
      </c>
      <c r="K333" s="51">
        <f>IF(L333=1,0,IF(SUM(K$253:K332)&gt;=Construction_Timeline,0,1))</f>
        <v>0</v>
      </c>
      <c r="L333" s="13">
        <f t="shared" si="47"/>
        <v>0</v>
      </c>
      <c r="M333" s="54">
        <f t="shared" si="48"/>
        <v>48611</v>
      </c>
      <c r="N333" s="7"/>
      <c r="O333" s="12"/>
      <c r="Q333" s="65"/>
      <c r="W333" s="3"/>
      <c r="X333" s="3"/>
    </row>
    <row r="334" spans="1:24" customFormat="1">
      <c r="A334" s="3"/>
      <c r="B334" s="6"/>
      <c r="C334" s="7">
        <v>86</v>
      </c>
      <c r="D334" s="24">
        <f t="shared" si="43"/>
        <v>0</v>
      </c>
      <c r="E334" s="103">
        <f t="shared" si="45"/>
        <v>0</v>
      </c>
      <c r="F334" s="53"/>
      <c r="G334" s="24">
        <f t="shared" si="44"/>
        <v>0</v>
      </c>
      <c r="H334" s="15"/>
      <c r="I334" s="15"/>
      <c r="J334" s="24">
        <f t="shared" si="46"/>
        <v>0</v>
      </c>
      <c r="K334" s="51">
        <f>IF(L334=1,0,IF(SUM(K$253:K333)&gt;=Construction_Timeline,0,1))</f>
        <v>0</v>
      </c>
      <c r="L334" s="13">
        <f t="shared" si="47"/>
        <v>0</v>
      </c>
      <c r="M334" s="54">
        <f t="shared" si="48"/>
        <v>48639</v>
      </c>
      <c r="N334" s="7"/>
      <c r="O334" s="12"/>
      <c r="Q334" s="65"/>
      <c r="W334" s="3"/>
      <c r="X334" s="3"/>
    </row>
    <row r="335" spans="1:24" customFormat="1">
      <c r="A335" s="3"/>
      <c r="B335" s="6"/>
      <c r="C335" s="7">
        <v>87</v>
      </c>
      <c r="D335" s="24">
        <f t="shared" si="43"/>
        <v>0</v>
      </c>
      <c r="E335" s="103">
        <f t="shared" si="45"/>
        <v>0</v>
      </c>
      <c r="F335" s="53"/>
      <c r="G335" s="24">
        <f t="shared" si="44"/>
        <v>0</v>
      </c>
      <c r="H335" s="15"/>
      <c r="I335" s="15"/>
      <c r="J335" s="24">
        <f t="shared" si="46"/>
        <v>0</v>
      </c>
      <c r="K335" s="51">
        <f>IF(L335=1,0,IF(SUM(K$253:K334)&gt;=Construction_Timeline,0,1))</f>
        <v>0</v>
      </c>
      <c r="L335" s="13">
        <f t="shared" si="47"/>
        <v>0</v>
      </c>
      <c r="M335" s="54">
        <f t="shared" si="48"/>
        <v>48670</v>
      </c>
      <c r="N335" s="7"/>
      <c r="O335" s="12"/>
      <c r="Q335" s="65"/>
      <c r="W335" s="3"/>
      <c r="X335" s="3"/>
    </row>
    <row r="336" spans="1:24" customFormat="1">
      <c r="A336" s="3"/>
      <c r="B336" s="6"/>
      <c r="C336" s="7">
        <v>88</v>
      </c>
      <c r="D336" s="24">
        <f t="shared" si="43"/>
        <v>0</v>
      </c>
      <c r="E336" s="103">
        <f t="shared" si="45"/>
        <v>0</v>
      </c>
      <c r="F336" s="53"/>
      <c r="G336" s="24">
        <f t="shared" si="44"/>
        <v>0</v>
      </c>
      <c r="H336" s="15"/>
      <c r="I336" s="15"/>
      <c r="J336" s="24">
        <f t="shared" si="46"/>
        <v>0</v>
      </c>
      <c r="K336" s="51">
        <f>IF(L336=1,0,IF(SUM(K$253:K335)&gt;=Construction_Timeline,0,1))</f>
        <v>0</v>
      </c>
      <c r="L336" s="13">
        <f t="shared" si="47"/>
        <v>0</v>
      </c>
      <c r="M336" s="54">
        <f t="shared" si="48"/>
        <v>48700</v>
      </c>
      <c r="N336" s="7"/>
      <c r="O336" s="12"/>
      <c r="Q336" s="65"/>
      <c r="W336" s="3"/>
      <c r="X336" s="3"/>
    </row>
    <row r="337" spans="1:24" customFormat="1">
      <c r="A337" s="3"/>
      <c r="B337" s="6"/>
      <c r="C337" s="7">
        <v>89</v>
      </c>
      <c r="D337" s="24">
        <f t="shared" si="43"/>
        <v>0</v>
      </c>
      <c r="E337" s="103">
        <f t="shared" si="45"/>
        <v>0</v>
      </c>
      <c r="F337" s="53"/>
      <c r="G337" s="24">
        <f t="shared" si="44"/>
        <v>0</v>
      </c>
      <c r="H337" s="15"/>
      <c r="I337" s="15"/>
      <c r="J337" s="24">
        <f t="shared" si="46"/>
        <v>0</v>
      </c>
      <c r="K337" s="51">
        <f>IF(L337=1,0,IF(SUM(K$253:K336)&gt;=Construction_Timeline,0,1))</f>
        <v>0</v>
      </c>
      <c r="L337" s="13">
        <f t="shared" si="47"/>
        <v>0</v>
      </c>
      <c r="M337" s="54">
        <f t="shared" si="48"/>
        <v>48731</v>
      </c>
      <c r="N337" s="7"/>
      <c r="O337" s="12"/>
      <c r="Q337" s="65"/>
      <c r="W337" s="3"/>
      <c r="X337" s="3"/>
    </row>
    <row r="338" spans="1:24" customFormat="1">
      <c r="A338" s="3"/>
      <c r="B338" s="6"/>
      <c r="C338" s="7">
        <v>90</v>
      </c>
      <c r="D338" s="24">
        <f t="shared" si="43"/>
        <v>0</v>
      </c>
      <c r="E338" s="103">
        <f t="shared" si="45"/>
        <v>0</v>
      </c>
      <c r="F338" s="53"/>
      <c r="G338" s="24">
        <f t="shared" si="44"/>
        <v>0</v>
      </c>
      <c r="H338" s="15"/>
      <c r="I338" s="15"/>
      <c r="J338" s="24">
        <f t="shared" si="46"/>
        <v>0</v>
      </c>
      <c r="K338" s="51">
        <f>IF(L338=1,0,IF(SUM(K$253:K337)&gt;=Construction_Timeline,0,1))</f>
        <v>0</v>
      </c>
      <c r="L338" s="13">
        <f t="shared" si="47"/>
        <v>0</v>
      </c>
      <c r="M338" s="54">
        <f t="shared" si="48"/>
        <v>48761</v>
      </c>
      <c r="N338" s="7"/>
      <c r="O338" s="12"/>
      <c r="Q338" s="65"/>
      <c r="W338" s="3"/>
      <c r="X338" s="3"/>
    </row>
    <row r="339" spans="1:24" customFormat="1">
      <c r="A339" s="3"/>
      <c r="B339" s="6"/>
      <c r="C339" s="7">
        <v>91</v>
      </c>
      <c r="D339" s="24">
        <f t="shared" si="43"/>
        <v>0</v>
      </c>
      <c r="E339" s="103">
        <f t="shared" si="45"/>
        <v>0</v>
      </c>
      <c r="F339" s="53"/>
      <c r="G339" s="24">
        <f t="shared" si="44"/>
        <v>0</v>
      </c>
      <c r="H339" s="15"/>
      <c r="I339" s="15"/>
      <c r="J339" s="24">
        <f t="shared" si="46"/>
        <v>0</v>
      </c>
      <c r="K339" s="51">
        <f>IF(L339=1,0,IF(SUM(K$253:K338)&gt;=Construction_Timeline,0,1))</f>
        <v>0</v>
      </c>
      <c r="L339" s="13">
        <f t="shared" si="47"/>
        <v>0</v>
      </c>
      <c r="M339" s="54">
        <f t="shared" si="48"/>
        <v>48792</v>
      </c>
      <c r="N339" s="7"/>
      <c r="O339" s="12"/>
      <c r="Q339" s="65"/>
      <c r="W339" s="3"/>
      <c r="X339" s="3"/>
    </row>
    <row r="340" spans="1:24" customFormat="1">
      <c r="A340" s="3"/>
      <c r="B340" s="6"/>
      <c r="C340" s="7">
        <v>92</v>
      </c>
      <c r="D340" s="24">
        <f t="shared" si="43"/>
        <v>0</v>
      </c>
      <c r="E340" s="103">
        <f t="shared" si="45"/>
        <v>0</v>
      </c>
      <c r="F340" s="53"/>
      <c r="G340" s="24">
        <f t="shared" si="44"/>
        <v>0</v>
      </c>
      <c r="H340" s="15"/>
      <c r="I340" s="15"/>
      <c r="J340" s="24">
        <f t="shared" si="46"/>
        <v>0</v>
      </c>
      <c r="K340" s="51">
        <f>IF(L340=1,0,IF(SUM(K$253:K339)&gt;=Construction_Timeline,0,1))</f>
        <v>0</v>
      </c>
      <c r="L340" s="13">
        <f t="shared" si="47"/>
        <v>0</v>
      </c>
      <c r="M340" s="54">
        <f t="shared" si="48"/>
        <v>48823</v>
      </c>
      <c r="N340" s="7"/>
      <c r="O340" s="12"/>
      <c r="Q340" s="65"/>
      <c r="W340" s="3"/>
      <c r="X340" s="3"/>
    </row>
    <row r="341" spans="1:24" customFormat="1">
      <c r="A341" s="3"/>
      <c r="B341" s="6"/>
      <c r="C341" s="7">
        <v>93</v>
      </c>
      <c r="D341" s="24">
        <f t="shared" si="43"/>
        <v>0</v>
      </c>
      <c r="E341" s="103">
        <f t="shared" si="45"/>
        <v>0</v>
      </c>
      <c r="F341" s="53"/>
      <c r="G341" s="24">
        <f t="shared" si="44"/>
        <v>0</v>
      </c>
      <c r="H341" s="15"/>
      <c r="I341" s="15"/>
      <c r="J341" s="24">
        <f t="shared" si="46"/>
        <v>0</v>
      </c>
      <c r="K341" s="51">
        <f>IF(L341=1,0,IF(SUM(K$253:K340)&gt;=Construction_Timeline,0,1))</f>
        <v>0</v>
      </c>
      <c r="L341" s="13">
        <f t="shared" si="47"/>
        <v>0</v>
      </c>
      <c r="M341" s="54">
        <f t="shared" si="48"/>
        <v>48853</v>
      </c>
      <c r="N341" s="7"/>
      <c r="O341" s="12"/>
      <c r="Q341" s="65"/>
      <c r="W341" s="3"/>
      <c r="X341" s="3"/>
    </row>
    <row r="342" spans="1:24" customFormat="1">
      <c r="A342" s="3"/>
      <c r="B342" s="6"/>
      <c r="C342" s="7">
        <v>94</v>
      </c>
      <c r="D342" s="24">
        <f t="shared" si="43"/>
        <v>0</v>
      </c>
      <c r="E342" s="103">
        <f t="shared" si="45"/>
        <v>0</v>
      </c>
      <c r="F342" s="53"/>
      <c r="G342" s="24">
        <f t="shared" si="44"/>
        <v>0</v>
      </c>
      <c r="H342" s="15"/>
      <c r="I342" s="15"/>
      <c r="J342" s="24">
        <f t="shared" si="46"/>
        <v>0</v>
      </c>
      <c r="K342" s="51">
        <f>IF(L342=1,0,IF(SUM(K$253:K341)&gt;=Construction_Timeline,0,1))</f>
        <v>0</v>
      </c>
      <c r="L342" s="13">
        <f t="shared" si="47"/>
        <v>0</v>
      </c>
      <c r="M342" s="54">
        <f t="shared" si="48"/>
        <v>48884</v>
      </c>
      <c r="N342" s="7"/>
      <c r="O342" s="12"/>
      <c r="Q342" s="65"/>
      <c r="W342" s="3"/>
      <c r="X342" s="3"/>
    </row>
    <row r="343" spans="1:24" customFormat="1">
      <c r="A343" s="3"/>
      <c r="B343" s="6"/>
      <c r="C343" s="7">
        <v>95</v>
      </c>
      <c r="D343" s="24">
        <f t="shared" si="43"/>
        <v>0</v>
      </c>
      <c r="E343" s="103">
        <f t="shared" si="45"/>
        <v>0</v>
      </c>
      <c r="F343" s="53"/>
      <c r="G343" s="24">
        <f t="shared" si="44"/>
        <v>0</v>
      </c>
      <c r="H343" s="15"/>
      <c r="I343" s="15"/>
      <c r="J343" s="24">
        <f t="shared" si="46"/>
        <v>0</v>
      </c>
      <c r="K343" s="51">
        <f>IF(L343=1,0,IF(SUM(K$253:K342)&gt;=Construction_Timeline,0,1))</f>
        <v>0</v>
      </c>
      <c r="L343" s="13">
        <f t="shared" si="47"/>
        <v>0</v>
      </c>
      <c r="M343" s="54">
        <f t="shared" si="48"/>
        <v>48914</v>
      </c>
      <c r="N343" s="7"/>
      <c r="O343" s="12"/>
      <c r="Q343" s="65"/>
      <c r="W343" s="3"/>
      <c r="X343" s="3"/>
    </row>
    <row r="344" spans="1:24" customFormat="1">
      <c r="A344" s="3"/>
      <c r="B344" s="6"/>
      <c r="C344" s="7">
        <v>96</v>
      </c>
      <c r="D344" s="24">
        <f t="shared" ref="D344:D375" si="49">IF(K344=1,-Construction_Costs/Construction_Timeline,0)</f>
        <v>0</v>
      </c>
      <c r="E344" s="103">
        <f t="shared" si="45"/>
        <v>0</v>
      </c>
      <c r="F344" s="53"/>
      <c r="G344" s="24">
        <f t="shared" ref="G344:G375" si="50">IF(C344=SUM(Month_of_Sale,PreDev_Timeline,Construction_Timeline),Sale_Price*(1-D$44),0)</f>
        <v>0</v>
      </c>
      <c r="H344" s="15"/>
      <c r="I344" s="15"/>
      <c r="J344" s="24">
        <f t="shared" si="46"/>
        <v>0</v>
      </c>
      <c r="K344" s="51">
        <f>IF(L344=1,0,IF(SUM(K$253:K343)&gt;=Construction_Timeline,0,1))</f>
        <v>0</v>
      </c>
      <c r="L344" s="13">
        <f t="shared" si="47"/>
        <v>0</v>
      </c>
      <c r="M344" s="54">
        <f t="shared" si="48"/>
        <v>48945</v>
      </c>
      <c r="N344" s="7"/>
      <c r="O344" s="12"/>
      <c r="Q344" s="65"/>
      <c r="W344" s="3"/>
      <c r="X344" s="3"/>
    </row>
    <row r="345" spans="1:24" customFormat="1">
      <c r="A345" s="3"/>
      <c r="B345" s="6"/>
      <c r="C345" s="7">
        <v>97</v>
      </c>
      <c r="D345" s="24">
        <f t="shared" si="49"/>
        <v>0</v>
      </c>
      <c r="E345" s="103">
        <f t="shared" ref="E345:E376" si="51">-Pre_Development_Costs/PreDev_Timeline*L345</f>
        <v>0</v>
      </c>
      <c r="F345" s="53"/>
      <c r="G345" s="24">
        <f t="shared" si="50"/>
        <v>0</v>
      </c>
      <c r="H345" s="15"/>
      <c r="I345" s="15"/>
      <c r="J345" s="24">
        <f t="shared" si="46"/>
        <v>0</v>
      </c>
      <c r="K345" s="51">
        <f>IF(L345=1,0,IF(SUM(K$253:K344)&gt;=Construction_Timeline,0,1))</f>
        <v>0</v>
      </c>
      <c r="L345" s="13">
        <f t="shared" ref="L345:L376" si="52">IF(C345&lt;=PreDev_Timeline,1,0)</f>
        <v>0</v>
      </c>
      <c r="M345" s="54">
        <f t="shared" si="48"/>
        <v>48976</v>
      </c>
      <c r="N345" s="7"/>
      <c r="O345" s="12"/>
      <c r="Q345" s="65"/>
      <c r="W345" s="3"/>
      <c r="X345" s="3"/>
    </row>
    <row r="346" spans="1:24" customFormat="1">
      <c r="A346" s="3"/>
      <c r="B346" s="6"/>
      <c r="C346" s="7">
        <v>98</v>
      </c>
      <c r="D346" s="24">
        <f t="shared" si="49"/>
        <v>0</v>
      </c>
      <c r="E346" s="103">
        <f t="shared" si="51"/>
        <v>0</v>
      </c>
      <c r="F346" s="53"/>
      <c r="G346" s="24">
        <f t="shared" si="50"/>
        <v>0</v>
      </c>
      <c r="H346" s="15"/>
      <c r="I346" s="15"/>
      <c r="J346" s="24">
        <f t="shared" si="46"/>
        <v>0</v>
      </c>
      <c r="K346" s="51">
        <f>IF(L346=1,0,IF(SUM(K$253:K345)&gt;=Construction_Timeline,0,1))</f>
        <v>0</v>
      </c>
      <c r="L346" s="13">
        <f t="shared" si="52"/>
        <v>0</v>
      </c>
      <c r="M346" s="54">
        <f t="shared" si="48"/>
        <v>49004</v>
      </c>
      <c r="N346" s="7"/>
      <c r="O346" s="12"/>
      <c r="Q346" s="65"/>
      <c r="W346" s="3"/>
      <c r="X346" s="3"/>
    </row>
    <row r="347" spans="1:24" customFormat="1">
      <c r="A347" s="3"/>
      <c r="B347" s="6"/>
      <c r="C347" s="7">
        <v>99</v>
      </c>
      <c r="D347" s="24">
        <f t="shared" si="49"/>
        <v>0</v>
      </c>
      <c r="E347" s="103">
        <f t="shared" si="51"/>
        <v>0</v>
      </c>
      <c r="F347" s="53"/>
      <c r="G347" s="24">
        <f t="shared" si="50"/>
        <v>0</v>
      </c>
      <c r="H347" s="15"/>
      <c r="I347" s="15"/>
      <c r="J347" s="24">
        <f t="shared" si="46"/>
        <v>0</v>
      </c>
      <c r="K347" s="51">
        <f>IF(L347=1,0,IF(SUM(K$253:K346)&gt;=Construction_Timeline,0,1))</f>
        <v>0</v>
      </c>
      <c r="L347" s="13">
        <f t="shared" si="52"/>
        <v>0</v>
      </c>
      <c r="M347" s="54">
        <f t="shared" si="48"/>
        <v>49035</v>
      </c>
      <c r="N347" s="7"/>
      <c r="O347" s="12"/>
      <c r="Q347" s="65"/>
      <c r="W347" s="3"/>
      <c r="X347" s="3"/>
    </row>
    <row r="348" spans="1:24" customFormat="1">
      <c r="A348" s="3"/>
      <c r="B348" s="6"/>
      <c r="C348" s="7">
        <v>100</v>
      </c>
      <c r="D348" s="24">
        <f t="shared" si="49"/>
        <v>0</v>
      </c>
      <c r="E348" s="103">
        <f t="shared" si="51"/>
        <v>0</v>
      </c>
      <c r="F348" s="53"/>
      <c r="G348" s="24">
        <f t="shared" si="50"/>
        <v>0</v>
      </c>
      <c r="H348" s="15"/>
      <c r="I348" s="15"/>
      <c r="J348" s="24">
        <f t="shared" si="46"/>
        <v>0</v>
      </c>
      <c r="K348" s="51">
        <f>IF(L348=1,0,IF(SUM(K$253:K347)&gt;=Construction_Timeline,0,1))</f>
        <v>0</v>
      </c>
      <c r="L348" s="13">
        <f t="shared" si="52"/>
        <v>0</v>
      </c>
      <c r="M348" s="54">
        <f t="shared" si="48"/>
        <v>49065</v>
      </c>
      <c r="N348" s="7"/>
      <c r="O348" s="12"/>
      <c r="Q348" s="65"/>
      <c r="W348" s="3"/>
      <c r="X348" s="3"/>
    </row>
    <row r="349" spans="1:24" customFormat="1">
      <c r="A349" s="3"/>
      <c r="B349" s="6"/>
      <c r="C349" s="7">
        <v>101</v>
      </c>
      <c r="D349" s="24">
        <f t="shared" si="49"/>
        <v>0</v>
      </c>
      <c r="E349" s="103">
        <f t="shared" si="51"/>
        <v>0</v>
      </c>
      <c r="F349" s="53"/>
      <c r="G349" s="24">
        <f t="shared" si="50"/>
        <v>0</v>
      </c>
      <c r="H349" s="15"/>
      <c r="I349" s="15"/>
      <c r="J349" s="24">
        <f t="shared" si="46"/>
        <v>0</v>
      </c>
      <c r="K349" s="51">
        <f>IF(L349=1,0,IF(SUM(K$253:K348)&gt;=Construction_Timeline,0,1))</f>
        <v>0</v>
      </c>
      <c r="L349" s="13">
        <f t="shared" si="52"/>
        <v>0</v>
      </c>
      <c r="M349" s="54">
        <f t="shared" si="48"/>
        <v>49096</v>
      </c>
      <c r="N349" s="7"/>
      <c r="O349" s="12"/>
      <c r="Q349" s="65"/>
      <c r="W349" s="3"/>
      <c r="X349" s="3"/>
    </row>
    <row r="350" spans="1:24" customFormat="1">
      <c r="A350" s="3"/>
      <c r="B350" s="6"/>
      <c r="C350" s="7">
        <v>102</v>
      </c>
      <c r="D350" s="24">
        <f t="shared" si="49"/>
        <v>0</v>
      </c>
      <c r="E350" s="103">
        <f t="shared" si="51"/>
        <v>0</v>
      </c>
      <c r="F350" s="53"/>
      <c r="G350" s="24">
        <f t="shared" si="50"/>
        <v>0</v>
      </c>
      <c r="H350" s="15"/>
      <c r="I350" s="15"/>
      <c r="J350" s="24">
        <f t="shared" si="46"/>
        <v>0</v>
      </c>
      <c r="K350" s="51">
        <f>IF(L350=1,0,IF(SUM(K$253:K349)&gt;=Construction_Timeline,0,1))</f>
        <v>0</v>
      </c>
      <c r="L350" s="13">
        <f t="shared" si="52"/>
        <v>0</v>
      </c>
      <c r="M350" s="54">
        <f t="shared" si="48"/>
        <v>49126</v>
      </c>
      <c r="N350" s="7"/>
      <c r="O350" s="12"/>
      <c r="Q350" s="65"/>
      <c r="W350" s="3"/>
      <c r="X350" s="3"/>
    </row>
    <row r="351" spans="1:24" customFormat="1">
      <c r="A351" s="3"/>
      <c r="B351" s="6"/>
      <c r="C351" s="7">
        <v>103</v>
      </c>
      <c r="D351" s="24">
        <f t="shared" si="49"/>
        <v>0</v>
      </c>
      <c r="E351" s="103">
        <f t="shared" si="51"/>
        <v>0</v>
      </c>
      <c r="F351" s="53"/>
      <c r="G351" s="24">
        <f t="shared" si="50"/>
        <v>0</v>
      </c>
      <c r="H351" s="15"/>
      <c r="I351" s="15"/>
      <c r="J351" s="24">
        <f t="shared" si="46"/>
        <v>0</v>
      </c>
      <c r="K351" s="51">
        <f>IF(L351=1,0,IF(SUM(K$253:K350)&gt;=Construction_Timeline,0,1))</f>
        <v>0</v>
      </c>
      <c r="L351" s="13">
        <f t="shared" si="52"/>
        <v>0</v>
      </c>
      <c r="M351" s="54">
        <f t="shared" si="48"/>
        <v>49157</v>
      </c>
      <c r="N351" s="7"/>
      <c r="O351" s="12"/>
      <c r="Q351" s="65"/>
      <c r="W351" s="3"/>
      <c r="X351" s="3"/>
    </row>
    <row r="352" spans="1:24" customFormat="1">
      <c r="A352" s="3"/>
      <c r="B352" s="6"/>
      <c r="C352" s="7">
        <v>104</v>
      </c>
      <c r="D352" s="24">
        <f t="shared" si="49"/>
        <v>0</v>
      </c>
      <c r="E352" s="103">
        <f t="shared" si="51"/>
        <v>0</v>
      </c>
      <c r="F352" s="53"/>
      <c r="G352" s="24">
        <f t="shared" si="50"/>
        <v>0</v>
      </c>
      <c r="H352" s="15"/>
      <c r="I352" s="15"/>
      <c r="J352" s="24">
        <f t="shared" si="46"/>
        <v>0</v>
      </c>
      <c r="K352" s="51">
        <f>IF(L352=1,0,IF(SUM(K$253:K351)&gt;=Construction_Timeline,0,1))</f>
        <v>0</v>
      </c>
      <c r="L352" s="13">
        <f t="shared" si="52"/>
        <v>0</v>
      </c>
      <c r="M352" s="54">
        <f t="shared" si="48"/>
        <v>49188</v>
      </c>
      <c r="N352" s="7"/>
      <c r="O352" s="12"/>
      <c r="Q352" s="65"/>
      <c r="W352" s="3"/>
      <c r="X352" s="3"/>
    </row>
    <row r="353" spans="1:24" customFormat="1">
      <c r="A353" s="3"/>
      <c r="B353" s="6"/>
      <c r="C353" s="7">
        <v>105</v>
      </c>
      <c r="D353" s="24">
        <f t="shared" si="49"/>
        <v>0</v>
      </c>
      <c r="E353" s="103">
        <f t="shared" si="51"/>
        <v>0</v>
      </c>
      <c r="F353" s="53"/>
      <c r="G353" s="24">
        <f t="shared" si="50"/>
        <v>0</v>
      </c>
      <c r="H353" s="15"/>
      <c r="I353" s="15"/>
      <c r="J353" s="24">
        <f t="shared" si="46"/>
        <v>0</v>
      </c>
      <c r="K353" s="51">
        <f>IF(L353=1,0,IF(SUM(K$253:K352)&gt;=Construction_Timeline,0,1))</f>
        <v>0</v>
      </c>
      <c r="L353" s="13">
        <f t="shared" si="52"/>
        <v>0</v>
      </c>
      <c r="M353" s="54">
        <f t="shared" si="48"/>
        <v>49218</v>
      </c>
      <c r="N353" s="7"/>
      <c r="O353" s="12"/>
      <c r="Q353" s="65"/>
      <c r="W353" s="3"/>
      <c r="X353" s="3"/>
    </row>
    <row r="354" spans="1:24" customFormat="1">
      <c r="A354" s="3"/>
      <c r="B354" s="6"/>
      <c r="C354" s="7">
        <v>106</v>
      </c>
      <c r="D354" s="24">
        <f t="shared" si="49"/>
        <v>0</v>
      </c>
      <c r="E354" s="103">
        <f t="shared" si="51"/>
        <v>0</v>
      </c>
      <c r="F354" s="53"/>
      <c r="G354" s="24">
        <f t="shared" si="50"/>
        <v>0</v>
      </c>
      <c r="H354" s="15"/>
      <c r="I354" s="15"/>
      <c r="J354" s="24">
        <f t="shared" si="46"/>
        <v>0</v>
      </c>
      <c r="K354" s="51">
        <f>IF(L354=1,0,IF(SUM(K$253:K353)&gt;=Construction_Timeline,0,1))</f>
        <v>0</v>
      </c>
      <c r="L354" s="13">
        <f t="shared" si="52"/>
        <v>0</v>
      </c>
      <c r="M354" s="54">
        <f t="shared" si="48"/>
        <v>49249</v>
      </c>
      <c r="N354" s="7"/>
      <c r="O354" s="12"/>
      <c r="Q354" s="65"/>
      <c r="W354" s="3"/>
      <c r="X354" s="3"/>
    </row>
    <row r="355" spans="1:24" customFormat="1">
      <c r="A355" s="3"/>
      <c r="B355" s="6"/>
      <c r="C355" s="7">
        <v>107</v>
      </c>
      <c r="D355" s="24">
        <f t="shared" si="49"/>
        <v>0</v>
      </c>
      <c r="E355" s="103">
        <f t="shared" si="51"/>
        <v>0</v>
      </c>
      <c r="F355" s="53"/>
      <c r="G355" s="24">
        <f t="shared" si="50"/>
        <v>0</v>
      </c>
      <c r="H355" s="15"/>
      <c r="I355" s="15"/>
      <c r="J355" s="24">
        <f t="shared" si="46"/>
        <v>0</v>
      </c>
      <c r="K355" s="51">
        <f>IF(L355=1,0,IF(SUM(K$253:K354)&gt;=Construction_Timeline,0,1))</f>
        <v>0</v>
      </c>
      <c r="L355" s="13">
        <f t="shared" si="52"/>
        <v>0</v>
      </c>
      <c r="M355" s="54">
        <f t="shared" si="48"/>
        <v>49279</v>
      </c>
      <c r="N355" s="7"/>
      <c r="O355" s="12"/>
      <c r="Q355" s="65"/>
      <c r="W355" s="3"/>
      <c r="X355" s="3"/>
    </row>
    <row r="356" spans="1:24" customFormat="1">
      <c r="A356" s="3"/>
      <c r="B356" s="6"/>
      <c r="C356" s="7">
        <v>108</v>
      </c>
      <c r="D356" s="24">
        <f t="shared" si="49"/>
        <v>0</v>
      </c>
      <c r="E356" s="103">
        <f t="shared" si="51"/>
        <v>0</v>
      </c>
      <c r="F356" s="53"/>
      <c r="G356" s="24">
        <f t="shared" si="50"/>
        <v>0</v>
      </c>
      <c r="H356" s="15"/>
      <c r="I356" s="15"/>
      <c r="J356" s="24">
        <f t="shared" si="46"/>
        <v>0</v>
      </c>
      <c r="K356" s="51">
        <f>IF(L356=1,0,IF(SUM(K$253:K355)&gt;=Construction_Timeline,0,1))</f>
        <v>0</v>
      </c>
      <c r="L356" s="13">
        <f t="shared" si="52"/>
        <v>0</v>
      </c>
      <c r="M356" s="54">
        <f t="shared" si="48"/>
        <v>49310</v>
      </c>
      <c r="N356" s="7"/>
      <c r="O356" s="12"/>
      <c r="Q356" s="65"/>
      <c r="W356" s="3"/>
      <c r="X356" s="3"/>
    </row>
    <row r="357" spans="1:24" customFormat="1">
      <c r="A357" s="3"/>
      <c r="B357" s="6"/>
      <c r="C357" s="7">
        <v>109</v>
      </c>
      <c r="D357" s="24">
        <f t="shared" si="49"/>
        <v>0</v>
      </c>
      <c r="E357" s="103">
        <f t="shared" si="51"/>
        <v>0</v>
      </c>
      <c r="F357" s="53"/>
      <c r="G357" s="24">
        <f t="shared" si="50"/>
        <v>0</v>
      </c>
      <c r="H357" s="15"/>
      <c r="I357" s="15"/>
      <c r="J357" s="24">
        <f t="shared" si="46"/>
        <v>0</v>
      </c>
      <c r="K357" s="51">
        <f>IF(L357=1,0,IF(SUM(K$253:K356)&gt;=Construction_Timeline,0,1))</f>
        <v>0</v>
      </c>
      <c r="L357" s="13">
        <f t="shared" si="52"/>
        <v>0</v>
      </c>
      <c r="M357" s="54">
        <f t="shared" si="48"/>
        <v>49341</v>
      </c>
      <c r="N357" s="7"/>
      <c r="O357" s="12"/>
      <c r="Q357" s="65"/>
      <c r="W357" s="3"/>
      <c r="X357" s="3"/>
    </row>
    <row r="358" spans="1:24" customFormat="1">
      <c r="A358" s="3"/>
      <c r="B358" s="6"/>
      <c r="C358" s="7">
        <v>110</v>
      </c>
      <c r="D358" s="24">
        <f t="shared" si="49"/>
        <v>0</v>
      </c>
      <c r="E358" s="103">
        <f t="shared" si="51"/>
        <v>0</v>
      </c>
      <c r="F358" s="53"/>
      <c r="G358" s="24">
        <f t="shared" si="50"/>
        <v>0</v>
      </c>
      <c r="H358" s="15"/>
      <c r="I358" s="15"/>
      <c r="J358" s="24">
        <f t="shared" si="46"/>
        <v>0</v>
      </c>
      <c r="K358" s="51">
        <f>IF(L358=1,0,IF(SUM(K$253:K357)&gt;=Construction_Timeline,0,1))</f>
        <v>0</v>
      </c>
      <c r="L358" s="13">
        <f t="shared" si="52"/>
        <v>0</v>
      </c>
      <c r="M358" s="54">
        <f t="shared" si="48"/>
        <v>49369</v>
      </c>
      <c r="N358" s="7"/>
      <c r="O358" s="12"/>
      <c r="Q358" s="65"/>
      <c r="W358" s="3"/>
      <c r="X358" s="3"/>
    </row>
    <row r="359" spans="1:24" customFormat="1">
      <c r="A359" s="3"/>
      <c r="B359" s="6"/>
      <c r="C359" s="7">
        <v>111</v>
      </c>
      <c r="D359" s="24">
        <f t="shared" si="49"/>
        <v>0</v>
      </c>
      <c r="E359" s="103">
        <f t="shared" si="51"/>
        <v>0</v>
      </c>
      <c r="F359" s="53"/>
      <c r="G359" s="24">
        <f t="shared" si="50"/>
        <v>0</v>
      </c>
      <c r="H359" s="15"/>
      <c r="I359" s="15"/>
      <c r="J359" s="24">
        <f t="shared" si="46"/>
        <v>0</v>
      </c>
      <c r="K359" s="51">
        <f>IF(L359=1,0,IF(SUM(K$253:K358)&gt;=Construction_Timeline,0,1))</f>
        <v>0</v>
      </c>
      <c r="L359" s="13">
        <f t="shared" si="52"/>
        <v>0</v>
      </c>
      <c r="M359" s="54">
        <f t="shared" si="48"/>
        <v>49400</v>
      </c>
      <c r="N359" s="7"/>
      <c r="O359" s="12"/>
      <c r="Q359" s="65"/>
      <c r="W359" s="3"/>
      <c r="X359" s="3"/>
    </row>
    <row r="360" spans="1:24" customFormat="1">
      <c r="A360" s="3"/>
      <c r="B360" s="6"/>
      <c r="C360" s="7">
        <v>112</v>
      </c>
      <c r="D360" s="24">
        <f t="shared" si="49"/>
        <v>0</v>
      </c>
      <c r="E360" s="103">
        <f t="shared" si="51"/>
        <v>0</v>
      </c>
      <c r="F360" s="53"/>
      <c r="G360" s="24">
        <f t="shared" si="50"/>
        <v>0</v>
      </c>
      <c r="H360" s="15"/>
      <c r="I360" s="15"/>
      <c r="J360" s="24">
        <f t="shared" si="46"/>
        <v>0</v>
      </c>
      <c r="K360" s="51">
        <f>IF(L360=1,0,IF(SUM(K$253:K359)&gt;=Construction_Timeline,0,1))</f>
        <v>0</v>
      </c>
      <c r="L360" s="13">
        <f t="shared" si="52"/>
        <v>0</v>
      </c>
      <c r="M360" s="54">
        <f t="shared" si="48"/>
        <v>49430</v>
      </c>
      <c r="N360" s="7"/>
      <c r="O360" s="12"/>
      <c r="Q360" s="65"/>
      <c r="W360" s="3"/>
      <c r="X360" s="3"/>
    </row>
    <row r="361" spans="1:24" customFormat="1">
      <c r="A361" s="3"/>
      <c r="B361" s="6"/>
      <c r="C361" s="7">
        <v>113</v>
      </c>
      <c r="D361" s="24">
        <f t="shared" si="49"/>
        <v>0</v>
      </c>
      <c r="E361" s="103">
        <f t="shared" si="51"/>
        <v>0</v>
      </c>
      <c r="F361" s="53"/>
      <c r="G361" s="24">
        <f t="shared" si="50"/>
        <v>0</v>
      </c>
      <c r="H361" s="15"/>
      <c r="I361" s="15"/>
      <c r="J361" s="24">
        <f t="shared" si="46"/>
        <v>0</v>
      </c>
      <c r="K361" s="51">
        <f>IF(L361=1,0,IF(SUM(K$253:K360)&gt;=Construction_Timeline,0,1))</f>
        <v>0</v>
      </c>
      <c r="L361" s="13">
        <f t="shared" si="52"/>
        <v>0</v>
      </c>
      <c r="M361" s="54">
        <f t="shared" si="48"/>
        <v>49461</v>
      </c>
      <c r="N361" s="7"/>
      <c r="O361" s="12"/>
      <c r="Q361" s="65"/>
      <c r="W361" s="3"/>
      <c r="X361" s="3"/>
    </row>
    <row r="362" spans="1:24" customFormat="1">
      <c r="A362" s="3"/>
      <c r="B362" s="6"/>
      <c r="C362" s="7">
        <v>114</v>
      </c>
      <c r="D362" s="24">
        <f t="shared" si="49"/>
        <v>0</v>
      </c>
      <c r="E362" s="103">
        <f t="shared" si="51"/>
        <v>0</v>
      </c>
      <c r="F362" s="53"/>
      <c r="G362" s="24">
        <f t="shared" si="50"/>
        <v>0</v>
      </c>
      <c r="H362" s="15"/>
      <c r="I362" s="15"/>
      <c r="J362" s="24">
        <f t="shared" si="46"/>
        <v>0</v>
      </c>
      <c r="K362" s="51">
        <f>IF(L362=1,0,IF(SUM(K$253:K361)&gt;=Construction_Timeline,0,1))</f>
        <v>0</v>
      </c>
      <c r="L362" s="13">
        <f t="shared" si="52"/>
        <v>0</v>
      </c>
      <c r="M362" s="54">
        <f t="shared" si="48"/>
        <v>49491</v>
      </c>
      <c r="N362" s="7"/>
      <c r="O362" s="12"/>
      <c r="Q362" s="65"/>
      <c r="W362" s="3"/>
      <c r="X362" s="3"/>
    </row>
    <row r="363" spans="1:24" customFormat="1">
      <c r="A363" s="3"/>
      <c r="B363" s="6"/>
      <c r="C363" s="7">
        <v>115</v>
      </c>
      <c r="D363" s="24">
        <f t="shared" si="49"/>
        <v>0</v>
      </c>
      <c r="E363" s="103">
        <f t="shared" si="51"/>
        <v>0</v>
      </c>
      <c r="F363" s="53"/>
      <c r="G363" s="24">
        <f t="shared" si="50"/>
        <v>0</v>
      </c>
      <c r="H363" s="15"/>
      <c r="I363" s="15"/>
      <c r="J363" s="24">
        <f t="shared" si="46"/>
        <v>0</v>
      </c>
      <c r="K363" s="51">
        <f>IF(L363=1,0,IF(SUM(K$253:K362)&gt;=Construction_Timeline,0,1))</f>
        <v>0</v>
      </c>
      <c r="L363" s="13">
        <f t="shared" si="52"/>
        <v>0</v>
      </c>
      <c r="M363" s="54">
        <f t="shared" si="48"/>
        <v>49522</v>
      </c>
      <c r="N363" s="7"/>
      <c r="O363" s="12"/>
      <c r="Q363" s="65"/>
      <c r="W363" s="3"/>
      <c r="X363" s="3"/>
    </row>
    <row r="364" spans="1:24" customFormat="1">
      <c r="A364" s="3"/>
      <c r="B364" s="6"/>
      <c r="C364" s="7">
        <v>116</v>
      </c>
      <c r="D364" s="24">
        <f t="shared" si="49"/>
        <v>0</v>
      </c>
      <c r="E364" s="103">
        <f t="shared" si="51"/>
        <v>0</v>
      </c>
      <c r="F364" s="53"/>
      <c r="G364" s="24">
        <f t="shared" si="50"/>
        <v>0</v>
      </c>
      <c r="H364" s="15"/>
      <c r="I364" s="15"/>
      <c r="J364" s="24">
        <f t="shared" si="46"/>
        <v>0</v>
      </c>
      <c r="K364" s="51">
        <f>IF(L364=1,0,IF(SUM(K$253:K363)&gt;=Construction_Timeline,0,1))</f>
        <v>0</v>
      </c>
      <c r="L364" s="13">
        <f t="shared" si="52"/>
        <v>0</v>
      </c>
      <c r="M364" s="54">
        <f t="shared" si="48"/>
        <v>49553</v>
      </c>
      <c r="N364" s="7"/>
      <c r="O364" s="12"/>
      <c r="Q364" s="65"/>
      <c r="W364" s="3"/>
      <c r="X364" s="3"/>
    </row>
    <row r="365" spans="1:24" customFormat="1">
      <c r="A365" s="3"/>
      <c r="B365" s="6"/>
      <c r="C365" s="7">
        <v>117</v>
      </c>
      <c r="D365" s="24">
        <f t="shared" si="49"/>
        <v>0</v>
      </c>
      <c r="E365" s="103">
        <f t="shared" si="51"/>
        <v>0</v>
      </c>
      <c r="F365" s="53"/>
      <c r="G365" s="24">
        <f t="shared" si="50"/>
        <v>0</v>
      </c>
      <c r="H365" s="15"/>
      <c r="I365" s="15"/>
      <c r="J365" s="24">
        <f t="shared" si="46"/>
        <v>0</v>
      </c>
      <c r="K365" s="51">
        <f>IF(L365=1,0,IF(SUM(K$253:K364)&gt;=Construction_Timeline,0,1))</f>
        <v>0</v>
      </c>
      <c r="L365" s="13">
        <f t="shared" si="52"/>
        <v>0</v>
      </c>
      <c r="M365" s="54">
        <f t="shared" si="48"/>
        <v>49583</v>
      </c>
      <c r="N365" s="7"/>
      <c r="O365" s="12"/>
      <c r="Q365" s="65"/>
      <c r="W365" s="3"/>
      <c r="X365" s="3"/>
    </row>
    <row r="366" spans="1:24" customFormat="1">
      <c r="A366" s="3"/>
      <c r="B366" s="6"/>
      <c r="C366" s="7">
        <v>118</v>
      </c>
      <c r="D366" s="24">
        <f t="shared" si="49"/>
        <v>0</v>
      </c>
      <c r="E366" s="103">
        <f t="shared" si="51"/>
        <v>0</v>
      </c>
      <c r="F366" s="53"/>
      <c r="G366" s="24">
        <f t="shared" si="50"/>
        <v>0</v>
      </c>
      <c r="H366" s="15"/>
      <c r="I366" s="15"/>
      <c r="J366" s="24">
        <f t="shared" si="46"/>
        <v>0</v>
      </c>
      <c r="K366" s="51">
        <f>IF(L366=1,0,IF(SUM(K$253:K365)&gt;=Construction_Timeline,0,1))</f>
        <v>0</v>
      </c>
      <c r="L366" s="13">
        <f t="shared" si="52"/>
        <v>0</v>
      </c>
      <c r="M366" s="54">
        <f t="shared" si="48"/>
        <v>49614</v>
      </c>
      <c r="N366" s="7"/>
      <c r="O366" s="12"/>
      <c r="Q366" s="65"/>
      <c r="W366" s="3"/>
      <c r="X366" s="3"/>
    </row>
    <row r="367" spans="1:24" customFormat="1">
      <c r="A367" s="3"/>
      <c r="B367" s="6"/>
      <c r="C367" s="7">
        <v>119</v>
      </c>
      <c r="D367" s="24">
        <f t="shared" si="49"/>
        <v>0</v>
      </c>
      <c r="E367" s="103">
        <f t="shared" si="51"/>
        <v>0</v>
      </c>
      <c r="F367" s="53"/>
      <c r="G367" s="24">
        <f t="shared" si="50"/>
        <v>0</v>
      </c>
      <c r="H367" s="15"/>
      <c r="I367" s="15"/>
      <c r="J367" s="24">
        <f t="shared" si="46"/>
        <v>0</v>
      </c>
      <c r="K367" s="51">
        <f>IF(L367=1,0,IF(SUM(K$253:K366)&gt;=Construction_Timeline,0,1))</f>
        <v>0</v>
      </c>
      <c r="L367" s="13">
        <f t="shared" si="52"/>
        <v>0</v>
      </c>
      <c r="M367" s="54">
        <f t="shared" si="48"/>
        <v>49644</v>
      </c>
      <c r="N367" s="7"/>
      <c r="O367" s="12"/>
      <c r="Q367" s="65"/>
      <c r="W367" s="3"/>
      <c r="X367" s="3"/>
    </row>
    <row r="368" spans="1:24" customFormat="1">
      <c r="A368" s="3"/>
      <c r="B368" s="6"/>
      <c r="C368" s="7">
        <v>120</v>
      </c>
      <c r="D368" s="24">
        <f t="shared" si="49"/>
        <v>0</v>
      </c>
      <c r="E368" s="103">
        <f t="shared" si="51"/>
        <v>0</v>
      </c>
      <c r="F368" s="53"/>
      <c r="G368" s="24">
        <f t="shared" si="50"/>
        <v>0</v>
      </c>
      <c r="H368" s="15"/>
      <c r="I368" s="15"/>
      <c r="J368" s="24">
        <f t="shared" si="46"/>
        <v>0</v>
      </c>
      <c r="K368" s="51">
        <f>IF(L368=1,0,IF(SUM(K$253:K367)&gt;=Construction_Timeline,0,1))</f>
        <v>0</v>
      </c>
      <c r="L368" s="13">
        <f t="shared" si="52"/>
        <v>0</v>
      </c>
      <c r="M368" s="54">
        <f t="shared" si="48"/>
        <v>49675</v>
      </c>
      <c r="N368" s="7"/>
      <c r="O368" s="12"/>
      <c r="Q368" s="65"/>
      <c r="W368" s="3"/>
      <c r="X368" s="3"/>
    </row>
    <row r="369" spans="1:24" customFormat="1">
      <c r="A369" s="3"/>
      <c r="B369" s="6"/>
      <c r="C369" s="7">
        <v>121</v>
      </c>
      <c r="D369" s="24">
        <f t="shared" si="49"/>
        <v>0</v>
      </c>
      <c r="E369" s="103">
        <f t="shared" si="51"/>
        <v>0</v>
      </c>
      <c r="F369" s="53"/>
      <c r="G369" s="24">
        <f t="shared" si="50"/>
        <v>0</v>
      </c>
      <c r="H369" s="15"/>
      <c r="I369" s="15"/>
      <c r="J369" s="24">
        <f t="shared" si="46"/>
        <v>0</v>
      </c>
      <c r="K369" s="51">
        <f>IF(L369=1,0,IF(SUM(K$253:K368)&gt;=Construction_Timeline,0,1))</f>
        <v>0</v>
      </c>
      <c r="L369" s="13">
        <f t="shared" si="52"/>
        <v>0</v>
      </c>
      <c r="M369" s="54">
        <f t="shared" si="48"/>
        <v>49706</v>
      </c>
      <c r="N369" s="7"/>
      <c r="O369" s="12"/>
      <c r="Q369" s="65"/>
      <c r="W369" s="3"/>
      <c r="X369" s="3"/>
    </row>
    <row r="370" spans="1:24" customFormat="1">
      <c r="A370" s="3"/>
      <c r="B370" s="6"/>
      <c r="C370" s="7">
        <v>122</v>
      </c>
      <c r="D370" s="24">
        <f t="shared" si="49"/>
        <v>0</v>
      </c>
      <c r="E370" s="103">
        <f t="shared" si="51"/>
        <v>0</v>
      </c>
      <c r="F370" s="53"/>
      <c r="G370" s="24">
        <f t="shared" si="50"/>
        <v>0</v>
      </c>
      <c r="H370" s="15"/>
      <c r="I370" s="15"/>
      <c r="J370" s="24">
        <f t="shared" si="46"/>
        <v>0</v>
      </c>
      <c r="K370" s="51">
        <f>IF(L370=1,0,IF(SUM(K$253:K369)&gt;=Construction_Timeline,0,1))</f>
        <v>0</v>
      </c>
      <c r="L370" s="13">
        <f t="shared" si="52"/>
        <v>0</v>
      </c>
      <c r="M370" s="54">
        <f t="shared" si="48"/>
        <v>49735</v>
      </c>
      <c r="N370" s="7"/>
      <c r="O370" s="12"/>
      <c r="Q370" s="65"/>
      <c r="W370" s="3"/>
      <c r="X370" s="3"/>
    </row>
    <row r="371" spans="1:24" customFormat="1">
      <c r="A371" s="3"/>
      <c r="B371" s="6"/>
      <c r="C371" s="7">
        <v>123</v>
      </c>
      <c r="D371" s="24">
        <f t="shared" si="49"/>
        <v>0</v>
      </c>
      <c r="E371" s="103">
        <f t="shared" si="51"/>
        <v>0</v>
      </c>
      <c r="F371" s="53"/>
      <c r="G371" s="24">
        <f t="shared" si="50"/>
        <v>0</v>
      </c>
      <c r="H371" s="15"/>
      <c r="I371" s="15"/>
      <c r="J371" s="24">
        <f t="shared" si="46"/>
        <v>0</v>
      </c>
      <c r="K371" s="51">
        <f>IF(L371=1,0,IF(SUM(K$253:K370)&gt;=Construction_Timeline,0,1))</f>
        <v>0</v>
      </c>
      <c r="L371" s="13">
        <f t="shared" si="52"/>
        <v>0</v>
      </c>
      <c r="M371" s="54">
        <f t="shared" si="48"/>
        <v>49766</v>
      </c>
      <c r="N371" s="7"/>
      <c r="O371" s="12"/>
      <c r="Q371" s="65"/>
      <c r="W371" s="3"/>
      <c r="X371" s="3"/>
    </row>
    <row r="372" spans="1:24" customFormat="1">
      <c r="A372" s="3"/>
      <c r="B372" s="6"/>
      <c r="C372" s="7">
        <v>124</v>
      </c>
      <c r="D372" s="24">
        <f t="shared" si="49"/>
        <v>0</v>
      </c>
      <c r="E372" s="103">
        <f t="shared" si="51"/>
        <v>0</v>
      </c>
      <c r="F372" s="53"/>
      <c r="G372" s="24">
        <f t="shared" si="50"/>
        <v>0</v>
      </c>
      <c r="H372" s="15"/>
      <c r="I372" s="15"/>
      <c r="J372" s="24">
        <f t="shared" si="46"/>
        <v>0</v>
      </c>
      <c r="K372" s="51">
        <f>IF(L372=1,0,IF(SUM(K$253:K371)&gt;=Construction_Timeline,0,1))</f>
        <v>0</v>
      </c>
      <c r="L372" s="13">
        <f t="shared" si="52"/>
        <v>0</v>
      </c>
      <c r="M372" s="54">
        <f t="shared" si="48"/>
        <v>49796</v>
      </c>
      <c r="N372" s="7"/>
      <c r="O372" s="12"/>
      <c r="Q372" s="65"/>
      <c r="W372" s="3"/>
      <c r="X372" s="3"/>
    </row>
    <row r="373" spans="1:24" customFormat="1">
      <c r="A373" s="3"/>
      <c r="B373" s="6"/>
      <c r="C373" s="7">
        <v>125</v>
      </c>
      <c r="D373" s="24">
        <f t="shared" si="49"/>
        <v>0</v>
      </c>
      <c r="E373" s="103">
        <f t="shared" si="51"/>
        <v>0</v>
      </c>
      <c r="F373" s="53"/>
      <c r="G373" s="24">
        <f t="shared" si="50"/>
        <v>0</v>
      </c>
      <c r="H373" s="15"/>
      <c r="I373" s="15"/>
      <c r="J373" s="24">
        <f t="shared" si="46"/>
        <v>0</v>
      </c>
      <c r="K373" s="51">
        <f>IF(L373=1,0,IF(SUM(K$253:K372)&gt;=Construction_Timeline,0,1))</f>
        <v>0</v>
      </c>
      <c r="L373" s="13">
        <f t="shared" si="52"/>
        <v>0</v>
      </c>
      <c r="M373" s="54">
        <f t="shared" si="48"/>
        <v>49827</v>
      </c>
      <c r="N373" s="7"/>
      <c r="O373" s="12"/>
      <c r="Q373" s="65"/>
      <c r="W373" s="3"/>
      <c r="X373" s="3"/>
    </row>
    <row r="374" spans="1:24" customFormat="1">
      <c r="A374" s="3"/>
      <c r="B374" s="6"/>
      <c r="C374" s="7">
        <v>126</v>
      </c>
      <c r="D374" s="24">
        <f t="shared" si="49"/>
        <v>0</v>
      </c>
      <c r="E374" s="103">
        <f t="shared" si="51"/>
        <v>0</v>
      </c>
      <c r="F374" s="53"/>
      <c r="G374" s="24">
        <f t="shared" si="50"/>
        <v>0</v>
      </c>
      <c r="H374" s="15"/>
      <c r="I374" s="15"/>
      <c r="J374" s="24">
        <f t="shared" si="46"/>
        <v>0</v>
      </c>
      <c r="K374" s="51">
        <f>IF(L374=1,0,IF(SUM(K$253:K373)&gt;=Construction_Timeline,0,1))</f>
        <v>0</v>
      </c>
      <c r="L374" s="13">
        <f t="shared" si="52"/>
        <v>0</v>
      </c>
      <c r="M374" s="54">
        <f t="shared" si="48"/>
        <v>49857</v>
      </c>
      <c r="N374" s="7"/>
      <c r="O374" s="12"/>
      <c r="Q374" s="65"/>
      <c r="W374" s="3"/>
      <c r="X374" s="3"/>
    </row>
    <row r="375" spans="1:24" customFormat="1">
      <c r="A375" s="3"/>
      <c r="B375" s="6"/>
      <c r="C375" s="7">
        <v>127</v>
      </c>
      <c r="D375" s="24">
        <f t="shared" si="49"/>
        <v>0</v>
      </c>
      <c r="E375" s="103">
        <f t="shared" si="51"/>
        <v>0</v>
      </c>
      <c r="F375" s="53"/>
      <c r="G375" s="24">
        <f t="shared" si="50"/>
        <v>0</v>
      </c>
      <c r="H375" s="15"/>
      <c r="I375" s="15"/>
      <c r="J375" s="24">
        <f t="shared" si="46"/>
        <v>0</v>
      </c>
      <c r="K375" s="51">
        <f>IF(L375=1,0,IF(SUM(K$253:K374)&gt;=Construction_Timeline,0,1))</f>
        <v>0</v>
      </c>
      <c r="L375" s="13">
        <f t="shared" si="52"/>
        <v>0</v>
      </c>
      <c r="M375" s="54">
        <f t="shared" si="48"/>
        <v>49888</v>
      </c>
      <c r="N375" s="7"/>
      <c r="O375" s="12"/>
      <c r="Q375" s="65"/>
      <c r="W375" s="3"/>
      <c r="X375" s="3"/>
    </row>
    <row r="376" spans="1:24" customFormat="1">
      <c r="A376" s="3"/>
      <c r="B376" s="6"/>
      <c r="C376" s="7">
        <v>128</v>
      </c>
      <c r="D376" s="24">
        <f t="shared" ref="D376:D407" si="53">IF(K376=1,-Construction_Costs/Construction_Timeline,0)</f>
        <v>0</v>
      </c>
      <c r="E376" s="103">
        <f t="shared" si="51"/>
        <v>0</v>
      </c>
      <c r="F376" s="53"/>
      <c r="G376" s="24">
        <f t="shared" ref="G376:G407" si="54">IF(C376=SUM(Month_of_Sale,PreDev_Timeline,Construction_Timeline),Sale_Price*(1-D$44),0)</f>
        <v>0</v>
      </c>
      <c r="H376" s="15"/>
      <c r="I376" s="15"/>
      <c r="J376" s="24">
        <f t="shared" si="46"/>
        <v>0</v>
      </c>
      <c r="K376" s="51">
        <f>IF(L376=1,0,IF(SUM(K$253:K375)&gt;=Construction_Timeline,0,1))</f>
        <v>0</v>
      </c>
      <c r="L376" s="13">
        <f t="shared" si="52"/>
        <v>0</v>
      </c>
      <c r="M376" s="54">
        <f t="shared" si="48"/>
        <v>49919</v>
      </c>
      <c r="N376" s="7"/>
      <c r="O376" s="12"/>
      <c r="Q376" s="65"/>
      <c r="W376" s="3"/>
      <c r="X376" s="3"/>
    </row>
    <row r="377" spans="1:24" customFormat="1">
      <c r="A377" s="3"/>
      <c r="B377" s="6"/>
      <c r="C377" s="7">
        <v>129</v>
      </c>
      <c r="D377" s="24">
        <f t="shared" si="53"/>
        <v>0</v>
      </c>
      <c r="E377" s="103">
        <f t="shared" ref="E377:E408" si="55">-Pre_Development_Costs/PreDev_Timeline*L377</f>
        <v>0</v>
      </c>
      <c r="F377" s="53"/>
      <c r="G377" s="24">
        <f t="shared" si="54"/>
        <v>0</v>
      </c>
      <c r="H377" s="15"/>
      <c r="I377" s="15"/>
      <c r="J377" s="24">
        <f t="shared" ref="J377:J427" si="56">SUM(D377:G377)</f>
        <v>0</v>
      </c>
      <c r="K377" s="51">
        <f>IF(L377=1,0,IF(SUM(K$253:K376)&gt;=Construction_Timeline,0,1))</f>
        <v>0</v>
      </c>
      <c r="L377" s="13">
        <f t="shared" ref="L377:L408" si="57">IF(C377&lt;=PreDev_Timeline,1,0)</f>
        <v>0</v>
      </c>
      <c r="M377" s="54">
        <f t="shared" si="48"/>
        <v>49949</v>
      </c>
      <c r="N377" s="7"/>
      <c r="O377" s="12"/>
      <c r="Q377" s="65"/>
      <c r="W377" s="3"/>
      <c r="X377" s="3"/>
    </row>
    <row r="378" spans="1:24" customFormat="1">
      <c r="A378" s="3"/>
      <c r="B378" s="6"/>
      <c r="C378" s="7">
        <v>130</v>
      </c>
      <c r="D378" s="24">
        <f t="shared" si="53"/>
        <v>0</v>
      </c>
      <c r="E378" s="103">
        <f t="shared" si="55"/>
        <v>0</v>
      </c>
      <c r="F378" s="53"/>
      <c r="G378" s="24">
        <f t="shared" si="54"/>
        <v>0</v>
      </c>
      <c r="H378" s="15"/>
      <c r="I378" s="15"/>
      <c r="J378" s="24">
        <f t="shared" si="56"/>
        <v>0</v>
      </c>
      <c r="K378" s="51">
        <f>IF(L378=1,0,IF(SUM(K$253:K377)&gt;=Construction_Timeline,0,1))</f>
        <v>0</v>
      </c>
      <c r="L378" s="13">
        <f t="shared" si="57"/>
        <v>0</v>
      </c>
      <c r="M378" s="54">
        <f t="shared" ref="M378:M428" si="58">EDATE(M377,1)</f>
        <v>49980</v>
      </c>
      <c r="N378" s="7"/>
      <c r="O378" s="12"/>
      <c r="Q378" s="65"/>
      <c r="W378" s="3"/>
      <c r="X378" s="3"/>
    </row>
    <row r="379" spans="1:24" customFormat="1">
      <c r="A379" s="3"/>
      <c r="B379" s="6"/>
      <c r="C379" s="7">
        <v>131</v>
      </c>
      <c r="D379" s="24">
        <f t="shared" si="53"/>
        <v>0</v>
      </c>
      <c r="E379" s="103">
        <f t="shared" si="55"/>
        <v>0</v>
      </c>
      <c r="F379" s="53"/>
      <c r="G379" s="24">
        <f t="shared" si="54"/>
        <v>0</v>
      </c>
      <c r="H379" s="15"/>
      <c r="I379" s="15"/>
      <c r="J379" s="24">
        <f t="shared" si="56"/>
        <v>0</v>
      </c>
      <c r="K379" s="51">
        <f>IF(L379=1,0,IF(SUM(K$253:K378)&gt;=Construction_Timeline,0,1))</f>
        <v>0</v>
      </c>
      <c r="L379" s="13">
        <f t="shared" si="57"/>
        <v>0</v>
      </c>
      <c r="M379" s="54">
        <f t="shared" si="58"/>
        <v>50010</v>
      </c>
      <c r="N379" s="7"/>
      <c r="O379" s="12"/>
      <c r="Q379" s="65"/>
      <c r="W379" s="3"/>
      <c r="X379" s="3"/>
    </row>
    <row r="380" spans="1:24" customFormat="1">
      <c r="A380" s="3"/>
      <c r="B380" s="6"/>
      <c r="C380" s="7">
        <v>132</v>
      </c>
      <c r="D380" s="24">
        <f t="shared" si="53"/>
        <v>0</v>
      </c>
      <c r="E380" s="103">
        <f t="shared" si="55"/>
        <v>0</v>
      </c>
      <c r="F380" s="53"/>
      <c r="G380" s="24">
        <f t="shared" si="54"/>
        <v>0</v>
      </c>
      <c r="H380" s="15"/>
      <c r="I380" s="15"/>
      <c r="J380" s="24">
        <f t="shared" si="56"/>
        <v>0</v>
      </c>
      <c r="K380" s="51">
        <f>IF(L380=1,0,IF(SUM(K$253:K379)&gt;=Construction_Timeline,0,1))</f>
        <v>0</v>
      </c>
      <c r="L380" s="13">
        <f t="shared" si="57"/>
        <v>0</v>
      </c>
      <c r="M380" s="54">
        <f t="shared" si="58"/>
        <v>50041</v>
      </c>
      <c r="N380" s="7"/>
      <c r="O380" s="12"/>
      <c r="Q380" s="65"/>
      <c r="W380" s="3"/>
      <c r="X380" s="3"/>
    </row>
    <row r="381" spans="1:24" customFormat="1">
      <c r="A381" s="3"/>
      <c r="B381" s="6"/>
      <c r="C381" s="7">
        <v>133</v>
      </c>
      <c r="D381" s="24">
        <f t="shared" si="53"/>
        <v>0</v>
      </c>
      <c r="E381" s="103">
        <f t="shared" si="55"/>
        <v>0</v>
      </c>
      <c r="F381" s="53"/>
      <c r="G381" s="24">
        <f t="shared" si="54"/>
        <v>0</v>
      </c>
      <c r="H381" s="15"/>
      <c r="I381" s="15"/>
      <c r="J381" s="24">
        <f t="shared" si="56"/>
        <v>0</v>
      </c>
      <c r="K381" s="51">
        <f>IF(L381=1,0,IF(SUM(K$253:K380)&gt;=Construction_Timeline,0,1))</f>
        <v>0</v>
      </c>
      <c r="L381" s="13">
        <f t="shared" si="57"/>
        <v>0</v>
      </c>
      <c r="M381" s="54">
        <f t="shared" si="58"/>
        <v>50072</v>
      </c>
      <c r="N381" s="7"/>
      <c r="O381" s="12"/>
      <c r="Q381" s="65"/>
      <c r="W381" s="3"/>
      <c r="X381" s="3"/>
    </row>
    <row r="382" spans="1:24" customFormat="1">
      <c r="A382" s="3"/>
      <c r="B382" s="6"/>
      <c r="C382" s="7">
        <v>134</v>
      </c>
      <c r="D382" s="24">
        <f t="shared" si="53"/>
        <v>0</v>
      </c>
      <c r="E382" s="103">
        <f t="shared" si="55"/>
        <v>0</v>
      </c>
      <c r="F382" s="53"/>
      <c r="G382" s="24">
        <f t="shared" si="54"/>
        <v>0</v>
      </c>
      <c r="H382" s="15"/>
      <c r="I382" s="15"/>
      <c r="J382" s="24">
        <f t="shared" si="56"/>
        <v>0</v>
      </c>
      <c r="K382" s="51">
        <f>IF(L382=1,0,IF(SUM(K$253:K381)&gt;=Construction_Timeline,0,1))</f>
        <v>0</v>
      </c>
      <c r="L382" s="13">
        <f t="shared" si="57"/>
        <v>0</v>
      </c>
      <c r="M382" s="54">
        <f t="shared" si="58"/>
        <v>50100</v>
      </c>
      <c r="N382" s="7"/>
      <c r="O382" s="12"/>
      <c r="Q382" s="65"/>
      <c r="W382" s="3"/>
      <c r="X382" s="3"/>
    </row>
    <row r="383" spans="1:24" customFormat="1">
      <c r="A383" s="3"/>
      <c r="B383" s="6"/>
      <c r="C383" s="7">
        <v>135</v>
      </c>
      <c r="D383" s="24">
        <f t="shared" si="53"/>
        <v>0</v>
      </c>
      <c r="E383" s="103">
        <f t="shared" si="55"/>
        <v>0</v>
      </c>
      <c r="F383" s="53"/>
      <c r="G383" s="24">
        <f t="shared" si="54"/>
        <v>0</v>
      </c>
      <c r="H383" s="15"/>
      <c r="I383" s="15"/>
      <c r="J383" s="24">
        <f t="shared" si="56"/>
        <v>0</v>
      </c>
      <c r="K383" s="51">
        <f>IF(L383=1,0,IF(SUM(K$253:K382)&gt;=Construction_Timeline,0,1))</f>
        <v>0</v>
      </c>
      <c r="L383" s="13">
        <f t="shared" si="57"/>
        <v>0</v>
      </c>
      <c r="M383" s="54">
        <f t="shared" si="58"/>
        <v>50131</v>
      </c>
      <c r="N383" s="7"/>
      <c r="O383" s="12"/>
      <c r="Q383" s="65"/>
      <c r="W383" s="3"/>
      <c r="X383" s="3"/>
    </row>
    <row r="384" spans="1:24" customFormat="1">
      <c r="A384" s="3"/>
      <c r="B384" s="6"/>
      <c r="C384" s="7">
        <v>136</v>
      </c>
      <c r="D384" s="24">
        <f t="shared" si="53"/>
        <v>0</v>
      </c>
      <c r="E384" s="103">
        <f t="shared" si="55"/>
        <v>0</v>
      </c>
      <c r="F384" s="53"/>
      <c r="G384" s="24">
        <f t="shared" si="54"/>
        <v>0</v>
      </c>
      <c r="H384" s="15"/>
      <c r="I384" s="15"/>
      <c r="J384" s="24">
        <f t="shared" si="56"/>
        <v>0</v>
      </c>
      <c r="K384" s="51">
        <f>IF(L384=1,0,IF(SUM(K$253:K383)&gt;=Construction_Timeline,0,1))</f>
        <v>0</v>
      </c>
      <c r="L384" s="13">
        <f t="shared" si="57"/>
        <v>0</v>
      </c>
      <c r="M384" s="54">
        <f t="shared" si="58"/>
        <v>50161</v>
      </c>
      <c r="N384" s="7"/>
      <c r="O384" s="12"/>
      <c r="Q384" s="65"/>
      <c r="W384" s="3"/>
      <c r="X384" s="3"/>
    </row>
    <row r="385" spans="1:24" customFormat="1">
      <c r="A385" s="3"/>
      <c r="B385" s="6"/>
      <c r="C385" s="7">
        <v>137</v>
      </c>
      <c r="D385" s="24">
        <f t="shared" si="53"/>
        <v>0</v>
      </c>
      <c r="E385" s="103">
        <f t="shared" si="55"/>
        <v>0</v>
      </c>
      <c r="F385" s="53"/>
      <c r="G385" s="24">
        <f t="shared" si="54"/>
        <v>0</v>
      </c>
      <c r="H385" s="15"/>
      <c r="I385" s="15"/>
      <c r="J385" s="24">
        <f t="shared" si="56"/>
        <v>0</v>
      </c>
      <c r="K385" s="51">
        <f>IF(L385=1,0,IF(SUM(K$253:K384)&gt;=Construction_Timeline,0,1))</f>
        <v>0</v>
      </c>
      <c r="L385" s="13">
        <f t="shared" si="57"/>
        <v>0</v>
      </c>
      <c r="M385" s="54">
        <f t="shared" si="58"/>
        <v>50192</v>
      </c>
      <c r="N385" s="7"/>
      <c r="O385" s="12"/>
      <c r="Q385" s="65"/>
      <c r="W385" s="3"/>
      <c r="X385" s="3"/>
    </row>
    <row r="386" spans="1:24" customFormat="1">
      <c r="A386" s="3"/>
      <c r="B386" s="6"/>
      <c r="C386" s="7">
        <v>138</v>
      </c>
      <c r="D386" s="24">
        <f t="shared" si="53"/>
        <v>0</v>
      </c>
      <c r="E386" s="103">
        <f t="shared" si="55"/>
        <v>0</v>
      </c>
      <c r="F386" s="53"/>
      <c r="G386" s="24">
        <f t="shared" si="54"/>
        <v>0</v>
      </c>
      <c r="H386" s="15"/>
      <c r="I386" s="15"/>
      <c r="J386" s="24">
        <f t="shared" si="56"/>
        <v>0</v>
      </c>
      <c r="K386" s="51">
        <f>IF(L386=1,0,IF(SUM(K$253:K385)&gt;=Construction_Timeline,0,1))</f>
        <v>0</v>
      </c>
      <c r="L386" s="13">
        <f t="shared" si="57"/>
        <v>0</v>
      </c>
      <c r="M386" s="54">
        <f t="shared" si="58"/>
        <v>50222</v>
      </c>
      <c r="N386" s="7"/>
      <c r="O386" s="12"/>
      <c r="Q386" s="65"/>
      <c r="W386" s="3"/>
      <c r="X386" s="3"/>
    </row>
    <row r="387" spans="1:24" customFormat="1">
      <c r="A387" s="3"/>
      <c r="B387" s="6"/>
      <c r="C387" s="7">
        <v>139</v>
      </c>
      <c r="D387" s="24">
        <f t="shared" si="53"/>
        <v>0</v>
      </c>
      <c r="E387" s="103">
        <f t="shared" si="55"/>
        <v>0</v>
      </c>
      <c r="F387" s="53"/>
      <c r="G387" s="24">
        <f t="shared" si="54"/>
        <v>0</v>
      </c>
      <c r="H387" s="15"/>
      <c r="I387" s="15"/>
      <c r="J387" s="24">
        <f t="shared" si="56"/>
        <v>0</v>
      </c>
      <c r="K387" s="51">
        <f>IF(L387=1,0,IF(SUM(K$253:K386)&gt;=Construction_Timeline,0,1))</f>
        <v>0</v>
      </c>
      <c r="L387" s="13">
        <f t="shared" si="57"/>
        <v>0</v>
      </c>
      <c r="M387" s="54">
        <f t="shared" si="58"/>
        <v>50253</v>
      </c>
      <c r="N387" s="7"/>
      <c r="O387" s="12"/>
      <c r="Q387" s="65"/>
      <c r="W387" s="3"/>
      <c r="X387" s="3"/>
    </row>
    <row r="388" spans="1:24" customFormat="1">
      <c r="A388" s="3"/>
      <c r="B388" s="6"/>
      <c r="C388" s="7">
        <v>140</v>
      </c>
      <c r="D388" s="24">
        <f t="shared" si="53"/>
        <v>0</v>
      </c>
      <c r="E388" s="103">
        <f t="shared" si="55"/>
        <v>0</v>
      </c>
      <c r="F388" s="53"/>
      <c r="G388" s="24">
        <f t="shared" si="54"/>
        <v>0</v>
      </c>
      <c r="H388" s="15"/>
      <c r="I388" s="15"/>
      <c r="J388" s="24">
        <f t="shared" si="56"/>
        <v>0</v>
      </c>
      <c r="K388" s="51">
        <f>IF(L388=1,0,IF(SUM(K$253:K387)&gt;=Construction_Timeline,0,1))</f>
        <v>0</v>
      </c>
      <c r="L388" s="13">
        <f t="shared" si="57"/>
        <v>0</v>
      </c>
      <c r="M388" s="54">
        <f t="shared" si="58"/>
        <v>50284</v>
      </c>
      <c r="N388" s="7"/>
      <c r="O388" s="12"/>
      <c r="Q388" s="65"/>
      <c r="W388" s="3"/>
      <c r="X388" s="3"/>
    </row>
    <row r="389" spans="1:24" customFormat="1">
      <c r="A389" s="3"/>
      <c r="B389" s="6"/>
      <c r="C389" s="7">
        <v>141</v>
      </c>
      <c r="D389" s="24">
        <f t="shared" si="53"/>
        <v>0</v>
      </c>
      <c r="E389" s="103">
        <f t="shared" si="55"/>
        <v>0</v>
      </c>
      <c r="F389" s="53"/>
      <c r="G389" s="24">
        <f t="shared" si="54"/>
        <v>0</v>
      </c>
      <c r="H389" s="15"/>
      <c r="I389" s="15"/>
      <c r="J389" s="24">
        <f t="shared" si="56"/>
        <v>0</v>
      </c>
      <c r="K389" s="51">
        <f>IF(L389=1,0,IF(SUM(K$253:K388)&gt;=Construction_Timeline,0,1))</f>
        <v>0</v>
      </c>
      <c r="L389" s="13">
        <f t="shared" si="57"/>
        <v>0</v>
      </c>
      <c r="M389" s="54">
        <f t="shared" si="58"/>
        <v>50314</v>
      </c>
      <c r="N389" s="7"/>
      <c r="O389" s="12"/>
      <c r="Q389" s="65"/>
      <c r="W389" s="3"/>
      <c r="X389" s="3"/>
    </row>
    <row r="390" spans="1:24" customFormat="1">
      <c r="A390" s="3"/>
      <c r="B390" s="6"/>
      <c r="C390" s="7">
        <v>142</v>
      </c>
      <c r="D390" s="24">
        <f t="shared" si="53"/>
        <v>0</v>
      </c>
      <c r="E390" s="103">
        <f t="shared" si="55"/>
        <v>0</v>
      </c>
      <c r="F390" s="53"/>
      <c r="G390" s="24">
        <f t="shared" si="54"/>
        <v>0</v>
      </c>
      <c r="H390" s="15"/>
      <c r="I390" s="15"/>
      <c r="J390" s="24">
        <f t="shared" si="56"/>
        <v>0</v>
      </c>
      <c r="K390" s="51">
        <f>IF(L390=1,0,IF(SUM(K$253:K389)&gt;=Construction_Timeline,0,1))</f>
        <v>0</v>
      </c>
      <c r="L390" s="13">
        <f t="shared" si="57"/>
        <v>0</v>
      </c>
      <c r="M390" s="54">
        <f t="shared" si="58"/>
        <v>50345</v>
      </c>
      <c r="N390" s="7"/>
      <c r="O390" s="12"/>
      <c r="Q390" s="65"/>
      <c r="W390" s="3"/>
      <c r="X390" s="3"/>
    </row>
    <row r="391" spans="1:24" customFormat="1">
      <c r="A391" s="3"/>
      <c r="B391" s="6"/>
      <c r="C391" s="7">
        <v>143</v>
      </c>
      <c r="D391" s="24">
        <f t="shared" si="53"/>
        <v>0</v>
      </c>
      <c r="E391" s="103">
        <f t="shared" si="55"/>
        <v>0</v>
      </c>
      <c r="F391" s="53"/>
      <c r="G391" s="24">
        <f t="shared" si="54"/>
        <v>0</v>
      </c>
      <c r="H391" s="15"/>
      <c r="I391" s="15"/>
      <c r="J391" s="24">
        <f t="shared" si="56"/>
        <v>0</v>
      </c>
      <c r="K391" s="51">
        <f>IF(L391=1,0,IF(SUM(K$253:K390)&gt;=Construction_Timeline,0,1))</f>
        <v>0</v>
      </c>
      <c r="L391" s="13">
        <f t="shared" si="57"/>
        <v>0</v>
      </c>
      <c r="M391" s="54">
        <f t="shared" si="58"/>
        <v>50375</v>
      </c>
      <c r="N391" s="7"/>
      <c r="O391" s="12"/>
      <c r="Q391" s="65"/>
      <c r="W391" s="3"/>
      <c r="X391" s="3"/>
    </row>
    <row r="392" spans="1:24" customFormat="1">
      <c r="A392" s="3"/>
      <c r="B392" s="6"/>
      <c r="C392" s="7">
        <v>144</v>
      </c>
      <c r="D392" s="24">
        <f t="shared" si="53"/>
        <v>0</v>
      </c>
      <c r="E392" s="103">
        <f t="shared" si="55"/>
        <v>0</v>
      </c>
      <c r="F392" s="53"/>
      <c r="G392" s="24">
        <f t="shared" si="54"/>
        <v>0</v>
      </c>
      <c r="H392" s="15"/>
      <c r="I392" s="15"/>
      <c r="J392" s="24">
        <f t="shared" si="56"/>
        <v>0</v>
      </c>
      <c r="K392" s="51">
        <f>IF(L392=1,0,IF(SUM(K$253:K391)&gt;=Construction_Timeline,0,1))</f>
        <v>0</v>
      </c>
      <c r="L392" s="13">
        <f t="shared" si="57"/>
        <v>0</v>
      </c>
      <c r="M392" s="54">
        <f t="shared" si="58"/>
        <v>50406</v>
      </c>
      <c r="N392" s="7"/>
      <c r="O392" s="12"/>
      <c r="Q392" s="65"/>
      <c r="W392" s="3"/>
      <c r="X392" s="3"/>
    </row>
    <row r="393" spans="1:24" customFormat="1">
      <c r="A393" s="3"/>
      <c r="B393" s="6"/>
      <c r="C393" s="7">
        <v>145</v>
      </c>
      <c r="D393" s="24">
        <f t="shared" si="53"/>
        <v>0</v>
      </c>
      <c r="E393" s="103">
        <f t="shared" si="55"/>
        <v>0</v>
      </c>
      <c r="F393" s="53"/>
      <c r="G393" s="24">
        <f t="shared" si="54"/>
        <v>0</v>
      </c>
      <c r="H393" s="15"/>
      <c r="I393" s="15"/>
      <c r="J393" s="24">
        <f t="shared" si="56"/>
        <v>0</v>
      </c>
      <c r="K393" s="51">
        <f>IF(L393=1,0,IF(SUM(K$253:K392)&gt;=Construction_Timeline,0,1))</f>
        <v>0</v>
      </c>
      <c r="L393" s="13">
        <f t="shared" si="57"/>
        <v>0</v>
      </c>
      <c r="M393" s="54">
        <f t="shared" si="58"/>
        <v>50437</v>
      </c>
      <c r="N393" s="7"/>
      <c r="O393" s="12"/>
      <c r="Q393" s="65"/>
      <c r="W393" s="3"/>
      <c r="X393" s="3"/>
    </row>
    <row r="394" spans="1:24" customFormat="1">
      <c r="A394" s="3"/>
      <c r="B394" s="6"/>
      <c r="C394" s="7">
        <v>146</v>
      </c>
      <c r="D394" s="24">
        <f t="shared" si="53"/>
        <v>0</v>
      </c>
      <c r="E394" s="103">
        <f t="shared" si="55"/>
        <v>0</v>
      </c>
      <c r="F394" s="53"/>
      <c r="G394" s="24">
        <f t="shared" si="54"/>
        <v>0</v>
      </c>
      <c r="H394" s="15"/>
      <c r="I394" s="15"/>
      <c r="J394" s="24">
        <f t="shared" si="56"/>
        <v>0</v>
      </c>
      <c r="K394" s="51">
        <f>IF(L394=1,0,IF(SUM(K$253:K393)&gt;=Construction_Timeline,0,1))</f>
        <v>0</v>
      </c>
      <c r="L394" s="13">
        <f t="shared" si="57"/>
        <v>0</v>
      </c>
      <c r="M394" s="54">
        <f t="shared" si="58"/>
        <v>50465</v>
      </c>
      <c r="N394" s="7"/>
      <c r="O394" s="12"/>
      <c r="Q394" s="65"/>
      <c r="W394" s="3"/>
      <c r="X394" s="3"/>
    </row>
    <row r="395" spans="1:24" customFormat="1">
      <c r="A395" s="3"/>
      <c r="B395" s="6"/>
      <c r="C395" s="7">
        <v>147</v>
      </c>
      <c r="D395" s="24">
        <f t="shared" si="53"/>
        <v>0</v>
      </c>
      <c r="E395" s="103">
        <f t="shared" si="55"/>
        <v>0</v>
      </c>
      <c r="F395" s="53"/>
      <c r="G395" s="24">
        <f t="shared" si="54"/>
        <v>0</v>
      </c>
      <c r="H395" s="15"/>
      <c r="I395" s="15"/>
      <c r="J395" s="24">
        <f t="shared" si="56"/>
        <v>0</v>
      </c>
      <c r="K395" s="51">
        <f>IF(L395=1,0,IF(SUM(K$253:K394)&gt;=Construction_Timeline,0,1))</f>
        <v>0</v>
      </c>
      <c r="L395" s="13">
        <f t="shared" si="57"/>
        <v>0</v>
      </c>
      <c r="M395" s="54">
        <f t="shared" si="58"/>
        <v>50496</v>
      </c>
      <c r="N395" s="7"/>
      <c r="O395" s="12"/>
      <c r="Q395" s="65"/>
      <c r="W395" s="3"/>
      <c r="X395" s="3"/>
    </row>
    <row r="396" spans="1:24" customFormat="1">
      <c r="A396" s="3"/>
      <c r="B396" s="6"/>
      <c r="C396" s="7">
        <v>148</v>
      </c>
      <c r="D396" s="24">
        <f t="shared" si="53"/>
        <v>0</v>
      </c>
      <c r="E396" s="103">
        <f t="shared" si="55"/>
        <v>0</v>
      </c>
      <c r="F396" s="53"/>
      <c r="G396" s="24">
        <f t="shared" si="54"/>
        <v>0</v>
      </c>
      <c r="H396" s="15"/>
      <c r="I396" s="15"/>
      <c r="J396" s="24">
        <f t="shared" si="56"/>
        <v>0</v>
      </c>
      <c r="K396" s="51">
        <f>IF(L396=1,0,IF(SUM(K$253:K395)&gt;=Construction_Timeline,0,1))</f>
        <v>0</v>
      </c>
      <c r="L396" s="13">
        <f t="shared" si="57"/>
        <v>0</v>
      </c>
      <c r="M396" s="54">
        <f t="shared" si="58"/>
        <v>50526</v>
      </c>
      <c r="N396" s="7"/>
      <c r="O396" s="12"/>
      <c r="Q396" s="65"/>
      <c r="W396" s="3"/>
      <c r="X396" s="3"/>
    </row>
    <row r="397" spans="1:24" customFormat="1">
      <c r="A397" s="3"/>
      <c r="B397" s="6"/>
      <c r="C397" s="7">
        <v>149</v>
      </c>
      <c r="D397" s="24">
        <f t="shared" si="53"/>
        <v>0</v>
      </c>
      <c r="E397" s="103">
        <f t="shared" si="55"/>
        <v>0</v>
      </c>
      <c r="F397" s="53"/>
      <c r="G397" s="24">
        <f t="shared" si="54"/>
        <v>0</v>
      </c>
      <c r="H397" s="15"/>
      <c r="I397" s="15"/>
      <c r="J397" s="24">
        <f t="shared" si="56"/>
        <v>0</v>
      </c>
      <c r="K397" s="51">
        <f>IF(L397=1,0,IF(SUM(K$253:K396)&gt;=Construction_Timeline,0,1))</f>
        <v>0</v>
      </c>
      <c r="L397" s="13">
        <f t="shared" si="57"/>
        <v>0</v>
      </c>
      <c r="M397" s="54">
        <f t="shared" si="58"/>
        <v>50557</v>
      </c>
      <c r="N397" s="7"/>
      <c r="O397" s="12"/>
      <c r="Q397" s="65"/>
      <c r="W397" s="3"/>
      <c r="X397" s="3"/>
    </row>
    <row r="398" spans="1:24" customFormat="1">
      <c r="A398" s="3"/>
      <c r="B398" s="6"/>
      <c r="C398" s="7">
        <v>150</v>
      </c>
      <c r="D398" s="24">
        <f t="shared" si="53"/>
        <v>0</v>
      </c>
      <c r="E398" s="103">
        <f t="shared" si="55"/>
        <v>0</v>
      </c>
      <c r="F398" s="53"/>
      <c r="G398" s="24">
        <f t="shared" si="54"/>
        <v>0</v>
      </c>
      <c r="H398" s="15"/>
      <c r="I398" s="15"/>
      <c r="J398" s="24">
        <f t="shared" si="56"/>
        <v>0</v>
      </c>
      <c r="K398" s="51">
        <f>IF(L398=1,0,IF(SUM(K$253:K397)&gt;=Construction_Timeline,0,1))</f>
        <v>0</v>
      </c>
      <c r="L398" s="13">
        <f t="shared" si="57"/>
        <v>0</v>
      </c>
      <c r="M398" s="54">
        <f t="shared" si="58"/>
        <v>50587</v>
      </c>
      <c r="N398" s="7"/>
      <c r="O398" s="12"/>
      <c r="Q398" s="65"/>
      <c r="W398" s="3"/>
      <c r="X398" s="3"/>
    </row>
    <row r="399" spans="1:24" customFormat="1">
      <c r="A399" s="3"/>
      <c r="B399" s="6"/>
      <c r="C399" s="7">
        <v>151</v>
      </c>
      <c r="D399" s="24">
        <f t="shared" si="53"/>
        <v>0</v>
      </c>
      <c r="E399" s="103">
        <f t="shared" si="55"/>
        <v>0</v>
      </c>
      <c r="F399" s="53"/>
      <c r="G399" s="24">
        <f t="shared" si="54"/>
        <v>0</v>
      </c>
      <c r="H399" s="15"/>
      <c r="I399" s="15"/>
      <c r="J399" s="24">
        <f t="shared" si="56"/>
        <v>0</v>
      </c>
      <c r="K399" s="51">
        <f>IF(L399=1,0,IF(SUM(K$253:K398)&gt;=Construction_Timeline,0,1))</f>
        <v>0</v>
      </c>
      <c r="L399" s="13">
        <f t="shared" si="57"/>
        <v>0</v>
      </c>
      <c r="M399" s="54">
        <f t="shared" si="58"/>
        <v>50618</v>
      </c>
      <c r="N399" s="7"/>
      <c r="O399" s="12"/>
      <c r="Q399" s="65"/>
      <c r="W399" s="3"/>
      <c r="X399" s="3"/>
    </row>
    <row r="400" spans="1:24" customFormat="1">
      <c r="A400" s="3"/>
      <c r="B400" s="6"/>
      <c r="C400" s="7">
        <v>152</v>
      </c>
      <c r="D400" s="24">
        <f t="shared" si="53"/>
        <v>0</v>
      </c>
      <c r="E400" s="103">
        <f t="shared" si="55"/>
        <v>0</v>
      </c>
      <c r="F400" s="53"/>
      <c r="G400" s="24">
        <f t="shared" si="54"/>
        <v>0</v>
      </c>
      <c r="H400" s="15"/>
      <c r="I400" s="15"/>
      <c r="J400" s="24">
        <f t="shared" si="56"/>
        <v>0</v>
      </c>
      <c r="K400" s="51">
        <f>IF(L400=1,0,IF(SUM(K$253:K399)&gt;=Construction_Timeline,0,1))</f>
        <v>0</v>
      </c>
      <c r="L400" s="13">
        <f t="shared" si="57"/>
        <v>0</v>
      </c>
      <c r="M400" s="54">
        <f t="shared" si="58"/>
        <v>50649</v>
      </c>
      <c r="N400" s="7"/>
      <c r="O400" s="12"/>
      <c r="Q400" s="65"/>
      <c r="W400" s="3"/>
      <c r="X400" s="3"/>
    </row>
    <row r="401" spans="1:24" customFormat="1">
      <c r="A401" s="3"/>
      <c r="B401" s="6"/>
      <c r="C401" s="7">
        <v>153</v>
      </c>
      <c r="D401" s="24">
        <f t="shared" si="53"/>
        <v>0</v>
      </c>
      <c r="E401" s="103">
        <f t="shared" si="55"/>
        <v>0</v>
      </c>
      <c r="F401" s="53"/>
      <c r="G401" s="24">
        <f t="shared" si="54"/>
        <v>0</v>
      </c>
      <c r="H401" s="15"/>
      <c r="I401" s="15"/>
      <c r="J401" s="24">
        <f t="shared" si="56"/>
        <v>0</v>
      </c>
      <c r="K401" s="51">
        <f>IF(L401=1,0,IF(SUM(K$253:K400)&gt;=Construction_Timeline,0,1))</f>
        <v>0</v>
      </c>
      <c r="L401" s="13">
        <f t="shared" si="57"/>
        <v>0</v>
      </c>
      <c r="M401" s="54">
        <f t="shared" si="58"/>
        <v>50679</v>
      </c>
      <c r="N401" s="7"/>
      <c r="O401" s="12"/>
      <c r="Q401" s="65"/>
      <c r="W401" s="3"/>
      <c r="X401" s="3"/>
    </row>
    <row r="402" spans="1:24" customFormat="1">
      <c r="A402" s="3"/>
      <c r="B402" s="6"/>
      <c r="C402" s="7">
        <v>154</v>
      </c>
      <c r="D402" s="24">
        <f t="shared" si="53"/>
        <v>0</v>
      </c>
      <c r="E402" s="103">
        <f t="shared" si="55"/>
        <v>0</v>
      </c>
      <c r="F402" s="53"/>
      <c r="G402" s="24">
        <f t="shared" si="54"/>
        <v>0</v>
      </c>
      <c r="H402" s="15"/>
      <c r="I402" s="15"/>
      <c r="J402" s="24">
        <f t="shared" si="56"/>
        <v>0</v>
      </c>
      <c r="K402" s="51">
        <f>IF(L402=1,0,IF(SUM(K$253:K401)&gt;=Construction_Timeline,0,1))</f>
        <v>0</v>
      </c>
      <c r="L402" s="13">
        <f t="shared" si="57"/>
        <v>0</v>
      </c>
      <c r="M402" s="54">
        <f t="shared" si="58"/>
        <v>50710</v>
      </c>
      <c r="N402" s="7"/>
      <c r="O402" s="12"/>
      <c r="Q402" s="65"/>
      <c r="W402" s="3"/>
      <c r="X402" s="3"/>
    </row>
    <row r="403" spans="1:24" customFormat="1">
      <c r="A403" s="3"/>
      <c r="B403" s="6"/>
      <c r="C403" s="7">
        <v>155</v>
      </c>
      <c r="D403" s="24">
        <f t="shared" si="53"/>
        <v>0</v>
      </c>
      <c r="E403" s="103">
        <f t="shared" si="55"/>
        <v>0</v>
      </c>
      <c r="F403" s="53"/>
      <c r="G403" s="24">
        <f t="shared" si="54"/>
        <v>0</v>
      </c>
      <c r="H403" s="15"/>
      <c r="I403" s="15"/>
      <c r="J403" s="24">
        <f t="shared" si="56"/>
        <v>0</v>
      </c>
      <c r="K403" s="51">
        <f>IF(L403=1,0,IF(SUM(K$253:K402)&gt;=Construction_Timeline,0,1))</f>
        <v>0</v>
      </c>
      <c r="L403" s="13">
        <f t="shared" si="57"/>
        <v>0</v>
      </c>
      <c r="M403" s="54">
        <f t="shared" si="58"/>
        <v>50740</v>
      </c>
      <c r="N403" s="7"/>
      <c r="O403" s="12"/>
      <c r="Q403" s="65"/>
      <c r="W403" s="3"/>
      <c r="X403" s="3"/>
    </row>
    <row r="404" spans="1:24" customFormat="1">
      <c r="A404" s="3"/>
      <c r="B404" s="6"/>
      <c r="C404" s="7">
        <v>156</v>
      </c>
      <c r="D404" s="24">
        <f t="shared" si="53"/>
        <v>0</v>
      </c>
      <c r="E404" s="103">
        <f t="shared" si="55"/>
        <v>0</v>
      </c>
      <c r="F404" s="53"/>
      <c r="G404" s="24">
        <f t="shared" si="54"/>
        <v>0</v>
      </c>
      <c r="H404" s="15"/>
      <c r="I404" s="15"/>
      <c r="J404" s="24">
        <f t="shared" si="56"/>
        <v>0</v>
      </c>
      <c r="K404" s="51">
        <f>IF(L404=1,0,IF(SUM(K$253:K403)&gt;=Construction_Timeline,0,1))</f>
        <v>0</v>
      </c>
      <c r="L404" s="13">
        <f t="shared" si="57"/>
        <v>0</v>
      </c>
      <c r="M404" s="54">
        <f t="shared" si="58"/>
        <v>50771</v>
      </c>
      <c r="N404" s="7"/>
      <c r="O404" s="12"/>
      <c r="Q404" s="65"/>
      <c r="W404" s="3"/>
      <c r="X404" s="3"/>
    </row>
    <row r="405" spans="1:24" customFormat="1">
      <c r="A405" s="3"/>
      <c r="B405" s="6"/>
      <c r="C405" s="7">
        <v>157</v>
      </c>
      <c r="D405" s="24">
        <f t="shared" si="53"/>
        <v>0</v>
      </c>
      <c r="E405" s="103">
        <f t="shared" si="55"/>
        <v>0</v>
      </c>
      <c r="F405" s="53"/>
      <c r="G405" s="24">
        <f t="shared" si="54"/>
        <v>0</v>
      </c>
      <c r="H405" s="15"/>
      <c r="I405" s="15"/>
      <c r="J405" s="24">
        <f t="shared" si="56"/>
        <v>0</v>
      </c>
      <c r="K405" s="51">
        <f>IF(L405=1,0,IF(SUM(K$253:K404)&gt;=Construction_Timeline,0,1))</f>
        <v>0</v>
      </c>
      <c r="L405" s="13">
        <f t="shared" si="57"/>
        <v>0</v>
      </c>
      <c r="M405" s="54">
        <f t="shared" si="58"/>
        <v>50802</v>
      </c>
      <c r="N405" s="7"/>
      <c r="O405" s="12"/>
      <c r="Q405" s="65"/>
      <c r="W405" s="3"/>
      <c r="X405" s="3"/>
    </row>
    <row r="406" spans="1:24" customFormat="1">
      <c r="A406" s="3"/>
      <c r="B406" s="6"/>
      <c r="C406" s="7">
        <v>158</v>
      </c>
      <c r="D406" s="24">
        <f t="shared" si="53"/>
        <v>0</v>
      </c>
      <c r="E406" s="103">
        <f t="shared" si="55"/>
        <v>0</v>
      </c>
      <c r="F406" s="53"/>
      <c r="G406" s="24">
        <f t="shared" si="54"/>
        <v>0</v>
      </c>
      <c r="H406" s="15"/>
      <c r="I406" s="15"/>
      <c r="J406" s="24">
        <f t="shared" si="56"/>
        <v>0</v>
      </c>
      <c r="K406" s="51">
        <f>IF(L406=1,0,IF(SUM(K$253:K405)&gt;=Construction_Timeline,0,1))</f>
        <v>0</v>
      </c>
      <c r="L406" s="13">
        <f t="shared" si="57"/>
        <v>0</v>
      </c>
      <c r="M406" s="54">
        <f t="shared" si="58"/>
        <v>50830</v>
      </c>
      <c r="N406" s="7"/>
      <c r="O406" s="12"/>
      <c r="Q406" s="65"/>
      <c r="W406" s="3"/>
      <c r="X406" s="3"/>
    </row>
    <row r="407" spans="1:24" customFormat="1">
      <c r="A407" s="3"/>
      <c r="B407" s="6"/>
      <c r="C407" s="7">
        <v>159</v>
      </c>
      <c r="D407" s="24">
        <f t="shared" si="53"/>
        <v>0</v>
      </c>
      <c r="E407" s="103">
        <f t="shared" si="55"/>
        <v>0</v>
      </c>
      <c r="F407" s="53"/>
      <c r="G407" s="24">
        <f t="shared" si="54"/>
        <v>0</v>
      </c>
      <c r="H407" s="15"/>
      <c r="I407" s="15"/>
      <c r="J407" s="24">
        <f t="shared" si="56"/>
        <v>0</v>
      </c>
      <c r="K407" s="51">
        <f>IF(L407=1,0,IF(SUM(K$253:K406)&gt;=Construction_Timeline,0,1))</f>
        <v>0</v>
      </c>
      <c r="L407" s="13">
        <f t="shared" si="57"/>
        <v>0</v>
      </c>
      <c r="M407" s="54">
        <f t="shared" si="58"/>
        <v>50861</v>
      </c>
      <c r="N407" s="7"/>
      <c r="O407" s="12"/>
      <c r="Q407" s="65"/>
      <c r="W407" s="3"/>
      <c r="X407" s="3"/>
    </row>
    <row r="408" spans="1:24" customFormat="1">
      <c r="A408" s="3"/>
      <c r="B408" s="6"/>
      <c r="C408" s="7">
        <v>160</v>
      </c>
      <c r="D408" s="24">
        <f t="shared" ref="D408:D428" si="59">IF(K408=1,-Construction_Costs/Construction_Timeline,0)</f>
        <v>0</v>
      </c>
      <c r="E408" s="103">
        <f t="shared" si="55"/>
        <v>0</v>
      </c>
      <c r="F408" s="53"/>
      <c r="G408" s="24">
        <f t="shared" ref="G408:G428" si="60">IF(C408=SUM(Month_of_Sale,PreDev_Timeline,Construction_Timeline),Sale_Price*(1-D$44),0)</f>
        <v>0</v>
      </c>
      <c r="H408" s="15"/>
      <c r="I408" s="15"/>
      <c r="J408" s="24">
        <f t="shared" si="56"/>
        <v>0</v>
      </c>
      <c r="K408" s="51">
        <f>IF(L408=1,0,IF(SUM(K$253:K407)&gt;=Construction_Timeline,0,1))</f>
        <v>0</v>
      </c>
      <c r="L408" s="13">
        <f t="shared" si="57"/>
        <v>0</v>
      </c>
      <c r="M408" s="54">
        <f t="shared" si="58"/>
        <v>50891</v>
      </c>
      <c r="N408" s="7"/>
      <c r="O408" s="12"/>
      <c r="Q408" s="65"/>
      <c r="W408" s="3"/>
      <c r="X408" s="3"/>
    </row>
    <row r="409" spans="1:24" customFormat="1">
      <c r="A409" s="3"/>
      <c r="B409" s="6"/>
      <c r="C409" s="7">
        <v>161</v>
      </c>
      <c r="D409" s="24">
        <f t="shared" si="59"/>
        <v>0</v>
      </c>
      <c r="E409" s="103">
        <f t="shared" ref="E409:E428" si="61">-Pre_Development_Costs/PreDev_Timeline*L409</f>
        <v>0</v>
      </c>
      <c r="F409" s="53"/>
      <c r="G409" s="24">
        <f t="shared" si="60"/>
        <v>0</v>
      </c>
      <c r="H409" s="15"/>
      <c r="I409" s="15"/>
      <c r="J409" s="24">
        <f t="shared" si="56"/>
        <v>0</v>
      </c>
      <c r="K409" s="51">
        <f>IF(L409=1,0,IF(SUM(K$253:K408)&gt;=Construction_Timeline,0,1))</f>
        <v>0</v>
      </c>
      <c r="L409" s="13">
        <f t="shared" ref="L409:L428" si="62">IF(C409&lt;=PreDev_Timeline,1,0)</f>
        <v>0</v>
      </c>
      <c r="M409" s="54">
        <f t="shared" si="58"/>
        <v>50922</v>
      </c>
      <c r="N409" s="7"/>
      <c r="O409" s="12"/>
      <c r="Q409" s="65"/>
      <c r="W409" s="3"/>
      <c r="X409" s="3"/>
    </row>
    <row r="410" spans="1:24" customFormat="1">
      <c r="A410" s="3"/>
      <c r="B410" s="6"/>
      <c r="C410" s="7">
        <v>162</v>
      </c>
      <c r="D410" s="24">
        <f t="shared" si="59"/>
        <v>0</v>
      </c>
      <c r="E410" s="103">
        <f t="shared" si="61"/>
        <v>0</v>
      </c>
      <c r="F410" s="53"/>
      <c r="G410" s="24">
        <f t="shared" si="60"/>
        <v>0</v>
      </c>
      <c r="H410" s="15"/>
      <c r="I410" s="15"/>
      <c r="J410" s="24">
        <f t="shared" si="56"/>
        <v>0</v>
      </c>
      <c r="K410" s="51">
        <f>IF(L410=1,0,IF(SUM(K$253:K409)&gt;=Construction_Timeline,0,1))</f>
        <v>0</v>
      </c>
      <c r="L410" s="13">
        <f t="shared" si="62"/>
        <v>0</v>
      </c>
      <c r="M410" s="54">
        <f t="shared" si="58"/>
        <v>50952</v>
      </c>
      <c r="N410" s="7"/>
      <c r="O410" s="12"/>
      <c r="Q410" s="65"/>
      <c r="W410" s="3"/>
      <c r="X410" s="3"/>
    </row>
    <row r="411" spans="1:24" customFormat="1">
      <c r="A411" s="3"/>
      <c r="B411" s="6"/>
      <c r="C411" s="7">
        <v>163</v>
      </c>
      <c r="D411" s="24">
        <f t="shared" si="59"/>
        <v>0</v>
      </c>
      <c r="E411" s="103">
        <f t="shared" si="61"/>
        <v>0</v>
      </c>
      <c r="F411" s="53"/>
      <c r="G411" s="24">
        <f t="shared" si="60"/>
        <v>0</v>
      </c>
      <c r="H411" s="15"/>
      <c r="I411" s="15"/>
      <c r="J411" s="24">
        <f t="shared" si="56"/>
        <v>0</v>
      </c>
      <c r="K411" s="51">
        <f>IF(L411=1,0,IF(SUM(K$253:K410)&gt;=Construction_Timeline,0,1))</f>
        <v>0</v>
      </c>
      <c r="L411" s="13">
        <f t="shared" si="62"/>
        <v>0</v>
      </c>
      <c r="M411" s="54">
        <f t="shared" si="58"/>
        <v>50983</v>
      </c>
      <c r="N411" s="7"/>
      <c r="O411" s="12"/>
      <c r="Q411" s="65"/>
      <c r="W411" s="3"/>
      <c r="X411" s="3"/>
    </row>
    <row r="412" spans="1:24" customFormat="1">
      <c r="A412" s="3"/>
      <c r="B412" s="6"/>
      <c r="C412" s="7">
        <v>164</v>
      </c>
      <c r="D412" s="24">
        <f t="shared" si="59"/>
        <v>0</v>
      </c>
      <c r="E412" s="103">
        <f t="shared" si="61"/>
        <v>0</v>
      </c>
      <c r="F412" s="53"/>
      <c r="G412" s="24">
        <f t="shared" si="60"/>
        <v>0</v>
      </c>
      <c r="H412" s="15"/>
      <c r="I412" s="15"/>
      <c r="J412" s="24">
        <f t="shared" si="56"/>
        <v>0</v>
      </c>
      <c r="K412" s="51">
        <f>IF(L412=1,0,IF(SUM(K$253:K411)&gt;=Construction_Timeline,0,1))</f>
        <v>0</v>
      </c>
      <c r="L412" s="13">
        <f t="shared" si="62"/>
        <v>0</v>
      </c>
      <c r="M412" s="54">
        <f t="shared" si="58"/>
        <v>51014</v>
      </c>
      <c r="N412" s="7"/>
      <c r="O412" s="12"/>
      <c r="Q412" s="65"/>
      <c r="W412" s="3"/>
      <c r="X412" s="3"/>
    </row>
    <row r="413" spans="1:24" customFormat="1">
      <c r="A413" s="3"/>
      <c r="B413" s="6"/>
      <c r="C413" s="7">
        <v>165</v>
      </c>
      <c r="D413" s="24">
        <f t="shared" si="59"/>
        <v>0</v>
      </c>
      <c r="E413" s="103">
        <f t="shared" si="61"/>
        <v>0</v>
      </c>
      <c r="F413" s="53"/>
      <c r="G413" s="24">
        <f t="shared" si="60"/>
        <v>0</v>
      </c>
      <c r="H413" s="15"/>
      <c r="I413" s="15"/>
      <c r="J413" s="24">
        <f t="shared" si="56"/>
        <v>0</v>
      </c>
      <c r="K413" s="51">
        <f>IF(L413=1,0,IF(SUM(K$253:K412)&gt;=Construction_Timeline,0,1))</f>
        <v>0</v>
      </c>
      <c r="L413" s="13">
        <f t="shared" si="62"/>
        <v>0</v>
      </c>
      <c r="M413" s="54">
        <f t="shared" si="58"/>
        <v>51044</v>
      </c>
      <c r="N413" s="7"/>
      <c r="O413" s="12"/>
      <c r="Q413" s="65"/>
      <c r="W413" s="3"/>
      <c r="X413" s="3"/>
    </row>
    <row r="414" spans="1:24" customFormat="1">
      <c r="A414" s="3"/>
      <c r="B414" s="6"/>
      <c r="C414" s="7">
        <v>166</v>
      </c>
      <c r="D414" s="24">
        <f t="shared" si="59"/>
        <v>0</v>
      </c>
      <c r="E414" s="103">
        <f t="shared" si="61"/>
        <v>0</v>
      </c>
      <c r="F414" s="53"/>
      <c r="G414" s="24">
        <f t="shared" si="60"/>
        <v>0</v>
      </c>
      <c r="H414" s="15"/>
      <c r="I414" s="15"/>
      <c r="J414" s="24">
        <f t="shared" si="56"/>
        <v>0</v>
      </c>
      <c r="K414" s="51">
        <f>IF(L414=1,0,IF(SUM(K$253:K413)&gt;=Construction_Timeline,0,1))</f>
        <v>0</v>
      </c>
      <c r="L414" s="13">
        <f t="shared" si="62"/>
        <v>0</v>
      </c>
      <c r="M414" s="54">
        <f t="shared" si="58"/>
        <v>51075</v>
      </c>
      <c r="N414" s="7"/>
      <c r="O414" s="12"/>
      <c r="Q414" s="65"/>
      <c r="W414" s="3"/>
      <c r="X414" s="3"/>
    </row>
    <row r="415" spans="1:24" customFormat="1">
      <c r="A415" s="3"/>
      <c r="B415" s="6"/>
      <c r="C415" s="7">
        <v>167</v>
      </c>
      <c r="D415" s="24">
        <f t="shared" si="59"/>
        <v>0</v>
      </c>
      <c r="E415" s="103">
        <f t="shared" si="61"/>
        <v>0</v>
      </c>
      <c r="F415" s="53"/>
      <c r="G415" s="24">
        <f t="shared" si="60"/>
        <v>0</v>
      </c>
      <c r="H415" s="15"/>
      <c r="I415" s="15"/>
      <c r="J415" s="24">
        <f t="shared" si="56"/>
        <v>0</v>
      </c>
      <c r="K415" s="51">
        <f>IF(L415=1,0,IF(SUM(K$253:K414)&gt;=Construction_Timeline,0,1))</f>
        <v>0</v>
      </c>
      <c r="L415" s="13">
        <f t="shared" si="62"/>
        <v>0</v>
      </c>
      <c r="M415" s="54">
        <f t="shared" si="58"/>
        <v>51105</v>
      </c>
      <c r="N415" s="7"/>
      <c r="O415" s="12"/>
      <c r="Q415" s="65"/>
      <c r="W415" s="3"/>
      <c r="X415" s="3"/>
    </row>
    <row r="416" spans="1:24" customFormat="1">
      <c r="A416" s="3"/>
      <c r="B416" s="6"/>
      <c r="C416" s="7">
        <v>168</v>
      </c>
      <c r="D416" s="24">
        <f t="shared" si="59"/>
        <v>0</v>
      </c>
      <c r="E416" s="103">
        <f t="shared" si="61"/>
        <v>0</v>
      </c>
      <c r="F416" s="53"/>
      <c r="G416" s="24">
        <f t="shared" si="60"/>
        <v>0</v>
      </c>
      <c r="H416" s="15"/>
      <c r="I416" s="15"/>
      <c r="J416" s="24">
        <f t="shared" si="56"/>
        <v>0</v>
      </c>
      <c r="K416" s="51">
        <f>IF(L416=1,0,IF(SUM(K$253:K415)&gt;=Construction_Timeline,0,1))</f>
        <v>0</v>
      </c>
      <c r="L416" s="13">
        <f t="shared" si="62"/>
        <v>0</v>
      </c>
      <c r="M416" s="54">
        <f t="shared" si="58"/>
        <v>51136</v>
      </c>
      <c r="N416" s="7"/>
      <c r="O416" s="12"/>
      <c r="Q416" s="65"/>
      <c r="W416" s="3"/>
      <c r="X416" s="3"/>
    </row>
    <row r="417" spans="1:24" customFormat="1">
      <c r="A417" s="3"/>
      <c r="B417" s="6"/>
      <c r="C417" s="7">
        <v>169</v>
      </c>
      <c r="D417" s="24">
        <f t="shared" si="59"/>
        <v>0</v>
      </c>
      <c r="E417" s="103">
        <f t="shared" si="61"/>
        <v>0</v>
      </c>
      <c r="F417" s="53"/>
      <c r="G417" s="24">
        <f t="shared" si="60"/>
        <v>0</v>
      </c>
      <c r="H417" s="15"/>
      <c r="I417" s="15"/>
      <c r="J417" s="24">
        <f t="shared" si="56"/>
        <v>0</v>
      </c>
      <c r="K417" s="51">
        <f>IF(L417=1,0,IF(SUM(K$253:K416)&gt;=Construction_Timeline,0,1))</f>
        <v>0</v>
      </c>
      <c r="L417" s="13">
        <f t="shared" si="62"/>
        <v>0</v>
      </c>
      <c r="M417" s="54">
        <f t="shared" si="58"/>
        <v>51167</v>
      </c>
      <c r="N417" s="7"/>
      <c r="O417" s="12"/>
      <c r="Q417" s="65"/>
      <c r="W417" s="3"/>
      <c r="X417" s="3"/>
    </row>
    <row r="418" spans="1:24" customFormat="1">
      <c r="A418" s="3"/>
      <c r="B418" s="6"/>
      <c r="C418" s="7">
        <v>170</v>
      </c>
      <c r="D418" s="24">
        <f t="shared" si="59"/>
        <v>0</v>
      </c>
      <c r="E418" s="103">
        <f t="shared" si="61"/>
        <v>0</v>
      </c>
      <c r="F418" s="53"/>
      <c r="G418" s="24">
        <f t="shared" si="60"/>
        <v>0</v>
      </c>
      <c r="H418" s="15"/>
      <c r="I418" s="15"/>
      <c r="J418" s="24">
        <f t="shared" si="56"/>
        <v>0</v>
      </c>
      <c r="K418" s="51">
        <f>IF(L418=1,0,IF(SUM(K$253:K417)&gt;=Construction_Timeline,0,1))</f>
        <v>0</v>
      </c>
      <c r="L418" s="13">
        <f t="shared" si="62"/>
        <v>0</v>
      </c>
      <c r="M418" s="54">
        <f t="shared" si="58"/>
        <v>51196</v>
      </c>
      <c r="N418" s="7"/>
      <c r="O418" s="12"/>
      <c r="Q418" s="65"/>
      <c r="W418" s="3"/>
      <c r="X418" s="3"/>
    </row>
    <row r="419" spans="1:24" customFormat="1">
      <c r="A419" s="3"/>
      <c r="B419" s="6"/>
      <c r="C419" s="7">
        <v>171</v>
      </c>
      <c r="D419" s="24">
        <f t="shared" si="59"/>
        <v>0</v>
      </c>
      <c r="E419" s="103">
        <f t="shared" si="61"/>
        <v>0</v>
      </c>
      <c r="F419" s="53"/>
      <c r="G419" s="24">
        <f t="shared" si="60"/>
        <v>0</v>
      </c>
      <c r="H419" s="15"/>
      <c r="I419" s="15"/>
      <c r="J419" s="24">
        <f t="shared" si="56"/>
        <v>0</v>
      </c>
      <c r="K419" s="51">
        <f>IF(L419=1,0,IF(SUM(K$253:K418)&gt;=Construction_Timeline,0,1))</f>
        <v>0</v>
      </c>
      <c r="L419" s="13">
        <f t="shared" si="62"/>
        <v>0</v>
      </c>
      <c r="M419" s="54">
        <f t="shared" si="58"/>
        <v>51227</v>
      </c>
      <c r="N419" s="7"/>
      <c r="O419" s="12"/>
      <c r="Q419" s="65"/>
      <c r="W419" s="3"/>
      <c r="X419" s="3"/>
    </row>
    <row r="420" spans="1:24" customFormat="1">
      <c r="A420" s="3"/>
      <c r="B420" s="6"/>
      <c r="C420" s="7">
        <v>172</v>
      </c>
      <c r="D420" s="24">
        <f t="shared" si="59"/>
        <v>0</v>
      </c>
      <c r="E420" s="103">
        <f t="shared" si="61"/>
        <v>0</v>
      </c>
      <c r="F420" s="53"/>
      <c r="G420" s="24">
        <f t="shared" si="60"/>
        <v>0</v>
      </c>
      <c r="H420" s="15"/>
      <c r="I420" s="15"/>
      <c r="J420" s="24">
        <f t="shared" si="56"/>
        <v>0</v>
      </c>
      <c r="K420" s="51">
        <f>IF(L420=1,0,IF(SUM(K$253:K419)&gt;=Construction_Timeline,0,1))</f>
        <v>0</v>
      </c>
      <c r="L420" s="13">
        <f t="shared" si="62"/>
        <v>0</v>
      </c>
      <c r="M420" s="54">
        <f t="shared" si="58"/>
        <v>51257</v>
      </c>
      <c r="N420" s="7"/>
      <c r="O420" s="12"/>
      <c r="Q420" s="65"/>
      <c r="W420" s="3"/>
      <c r="X420" s="3"/>
    </row>
    <row r="421" spans="1:24" customFormat="1">
      <c r="A421" s="3"/>
      <c r="B421" s="6"/>
      <c r="C421" s="7">
        <v>173</v>
      </c>
      <c r="D421" s="24">
        <f t="shared" si="59"/>
        <v>0</v>
      </c>
      <c r="E421" s="103">
        <f t="shared" si="61"/>
        <v>0</v>
      </c>
      <c r="F421" s="53"/>
      <c r="G421" s="24">
        <f t="shared" si="60"/>
        <v>0</v>
      </c>
      <c r="H421" s="15"/>
      <c r="I421" s="15"/>
      <c r="J421" s="24">
        <f t="shared" si="56"/>
        <v>0</v>
      </c>
      <c r="K421" s="51">
        <f>IF(L421=1,0,IF(SUM(K$253:K420)&gt;=Construction_Timeline,0,1))</f>
        <v>0</v>
      </c>
      <c r="L421" s="13">
        <f t="shared" si="62"/>
        <v>0</v>
      </c>
      <c r="M421" s="54">
        <f t="shared" si="58"/>
        <v>51288</v>
      </c>
      <c r="N421" s="7"/>
      <c r="O421" s="12"/>
      <c r="Q421" s="65"/>
      <c r="W421" s="3"/>
      <c r="X421" s="3"/>
    </row>
    <row r="422" spans="1:24" customFormat="1">
      <c r="A422" s="3"/>
      <c r="B422" s="6"/>
      <c r="C422" s="7">
        <v>174</v>
      </c>
      <c r="D422" s="24">
        <f t="shared" si="59"/>
        <v>0</v>
      </c>
      <c r="E422" s="103">
        <f t="shared" si="61"/>
        <v>0</v>
      </c>
      <c r="F422" s="53"/>
      <c r="G422" s="24">
        <f t="shared" si="60"/>
        <v>0</v>
      </c>
      <c r="H422" s="15"/>
      <c r="I422" s="15"/>
      <c r="J422" s="24">
        <f t="shared" si="56"/>
        <v>0</v>
      </c>
      <c r="K422" s="51">
        <f>IF(L422=1,0,IF(SUM(K$253:K421)&gt;=Construction_Timeline,0,1))</f>
        <v>0</v>
      </c>
      <c r="L422" s="13">
        <f t="shared" si="62"/>
        <v>0</v>
      </c>
      <c r="M422" s="54">
        <f t="shared" si="58"/>
        <v>51318</v>
      </c>
      <c r="N422" s="7"/>
      <c r="O422" s="12"/>
      <c r="Q422" s="65"/>
      <c r="W422" s="3"/>
      <c r="X422" s="3"/>
    </row>
    <row r="423" spans="1:24" customFormat="1">
      <c r="A423" s="3"/>
      <c r="B423" s="6"/>
      <c r="C423" s="7">
        <v>175</v>
      </c>
      <c r="D423" s="24">
        <f t="shared" si="59"/>
        <v>0</v>
      </c>
      <c r="E423" s="103">
        <f t="shared" si="61"/>
        <v>0</v>
      </c>
      <c r="F423" s="53"/>
      <c r="G423" s="24">
        <f t="shared" si="60"/>
        <v>0</v>
      </c>
      <c r="H423" s="15"/>
      <c r="I423" s="15"/>
      <c r="J423" s="24">
        <f t="shared" si="56"/>
        <v>0</v>
      </c>
      <c r="K423" s="51">
        <f>IF(L423=1,0,IF(SUM(K$253:K422)&gt;=Construction_Timeline,0,1))</f>
        <v>0</v>
      </c>
      <c r="L423" s="13">
        <f t="shared" si="62"/>
        <v>0</v>
      </c>
      <c r="M423" s="54">
        <f t="shared" si="58"/>
        <v>51349</v>
      </c>
      <c r="N423" s="7"/>
      <c r="O423" s="12"/>
      <c r="Q423" s="65"/>
      <c r="W423" s="3"/>
      <c r="X423" s="3"/>
    </row>
    <row r="424" spans="1:24" customFormat="1">
      <c r="A424" s="3"/>
      <c r="B424" s="6"/>
      <c r="C424" s="7">
        <v>176</v>
      </c>
      <c r="D424" s="24">
        <f t="shared" si="59"/>
        <v>0</v>
      </c>
      <c r="E424" s="103">
        <f t="shared" si="61"/>
        <v>0</v>
      </c>
      <c r="F424" s="53"/>
      <c r="G424" s="24">
        <f t="shared" si="60"/>
        <v>0</v>
      </c>
      <c r="H424" s="15"/>
      <c r="I424" s="15"/>
      <c r="J424" s="24">
        <f t="shared" si="56"/>
        <v>0</v>
      </c>
      <c r="K424" s="51">
        <f>IF(L424=1,0,IF(SUM(K$253:K423)&gt;=Construction_Timeline,0,1))</f>
        <v>0</v>
      </c>
      <c r="L424" s="13">
        <f t="shared" si="62"/>
        <v>0</v>
      </c>
      <c r="M424" s="54">
        <f t="shared" si="58"/>
        <v>51380</v>
      </c>
      <c r="N424" s="7"/>
      <c r="O424" s="12"/>
      <c r="Q424" s="65"/>
      <c r="W424" s="3"/>
      <c r="X424" s="3"/>
    </row>
    <row r="425" spans="1:24" customFormat="1">
      <c r="A425" s="3"/>
      <c r="B425" s="6"/>
      <c r="C425" s="7">
        <v>177</v>
      </c>
      <c r="D425" s="24">
        <f t="shared" si="59"/>
        <v>0</v>
      </c>
      <c r="E425" s="103">
        <f t="shared" si="61"/>
        <v>0</v>
      </c>
      <c r="F425" s="53"/>
      <c r="G425" s="24">
        <f t="shared" si="60"/>
        <v>0</v>
      </c>
      <c r="H425" s="15"/>
      <c r="I425" s="15"/>
      <c r="J425" s="24">
        <f t="shared" si="56"/>
        <v>0</v>
      </c>
      <c r="K425" s="51">
        <f>IF(L425=1,0,IF(SUM(K$253:K424)&gt;=Construction_Timeline,0,1))</f>
        <v>0</v>
      </c>
      <c r="L425" s="13">
        <f t="shared" si="62"/>
        <v>0</v>
      </c>
      <c r="M425" s="54">
        <f t="shared" si="58"/>
        <v>51410</v>
      </c>
      <c r="N425" s="7"/>
      <c r="O425" s="12"/>
      <c r="Q425" s="65"/>
      <c r="W425" s="3"/>
      <c r="X425" s="3"/>
    </row>
    <row r="426" spans="1:24" customFormat="1">
      <c r="A426" s="3"/>
      <c r="B426" s="6"/>
      <c r="C426" s="7">
        <v>178</v>
      </c>
      <c r="D426" s="24">
        <f t="shared" si="59"/>
        <v>0</v>
      </c>
      <c r="E426" s="103">
        <f t="shared" si="61"/>
        <v>0</v>
      </c>
      <c r="F426" s="53"/>
      <c r="G426" s="24">
        <f t="shared" si="60"/>
        <v>0</v>
      </c>
      <c r="H426" s="15"/>
      <c r="I426" s="15"/>
      <c r="J426" s="24">
        <f t="shared" si="56"/>
        <v>0</v>
      </c>
      <c r="K426" s="51">
        <f>IF(L426=1,0,IF(SUM(K$253:K425)&gt;=Construction_Timeline,0,1))</f>
        <v>0</v>
      </c>
      <c r="L426" s="13">
        <f t="shared" si="62"/>
        <v>0</v>
      </c>
      <c r="M426" s="54">
        <f t="shared" si="58"/>
        <v>51441</v>
      </c>
      <c r="N426" s="7"/>
      <c r="O426" s="12"/>
      <c r="Q426" s="65"/>
      <c r="W426" s="3"/>
      <c r="X426" s="3"/>
    </row>
    <row r="427" spans="1:24" customFormat="1">
      <c r="A427" s="3"/>
      <c r="B427" s="6"/>
      <c r="C427" s="7">
        <v>179</v>
      </c>
      <c r="D427" s="24">
        <f t="shared" si="59"/>
        <v>0</v>
      </c>
      <c r="E427" s="103">
        <f t="shared" si="61"/>
        <v>0</v>
      </c>
      <c r="F427" s="53"/>
      <c r="G427" s="24">
        <f t="shared" si="60"/>
        <v>0</v>
      </c>
      <c r="H427" s="15"/>
      <c r="I427" s="15"/>
      <c r="J427" s="24">
        <f t="shared" si="56"/>
        <v>0</v>
      </c>
      <c r="K427" s="51">
        <f>IF(L427=1,0,IF(SUM(K$253:K426)&gt;=Construction_Timeline,0,1))</f>
        <v>0</v>
      </c>
      <c r="L427" s="13">
        <f t="shared" si="62"/>
        <v>0</v>
      </c>
      <c r="M427" s="54">
        <f t="shared" si="58"/>
        <v>51471</v>
      </c>
      <c r="N427" s="7"/>
      <c r="O427" s="12"/>
      <c r="Q427" s="65"/>
      <c r="W427" s="3"/>
      <c r="X427" s="3"/>
    </row>
    <row r="428" spans="1:24" customFormat="1">
      <c r="A428" s="3"/>
      <c r="B428" s="6"/>
      <c r="C428" s="7">
        <v>180</v>
      </c>
      <c r="D428" s="24">
        <f t="shared" si="59"/>
        <v>0</v>
      </c>
      <c r="E428" s="103">
        <f t="shared" si="61"/>
        <v>0</v>
      </c>
      <c r="F428" s="53"/>
      <c r="G428" s="24">
        <f t="shared" si="60"/>
        <v>0</v>
      </c>
      <c r="H428" s="15"/>
      <c r="I428" s="15"/>
      <c r="J428" s="24">
        <f t="shared" ref="J428" si="63">SUM(D428:G428)</f>
        <v>0</v>
      </c>
      <c r="K428" s="51">
        <f>IF(L428=1,0,IF(SUM(K$253:K427)&gt;=Construction_Timeline,0,1))</f>
        <v>0</v>
      </c>
      <c r="L428" s="13">
        <f t="shared" si="62"/>
        <v>0</v>
      </c>
      <c r="M428" s="54">
        <f t="shared" si="58"/>
        <v>51502</v>
      </c>
      <c r="N428" s="7"/>
      <c r="O428" s="12"/>
      <c r="Q428" s="65"/>
      <c r="W428" s="3"/>
      <c r="X428" s="3"/>
    </row>
    <row r="432" spans="1:24">
      <c r="B432" t="s">
        <v>157</v>
      </c>
    </row>
  </sheetData>
  <mergeCells count="5">
    <mergeCell ref="G9:G10"/>
    <mergeCell ref="I9:I10"/>
    <mergeCell ref="K9:K10"/>
    <mergeCell ref="C15:C16"/>
    <mergeCell ref="C17:C18"/>
  </mergeCells>
  <conditionalFormatting sqref="G11 I11 K11">
    <cfRule type="cellIs" dxfId="44" priority="47" operator="equal">
      <formula>"Possibly Feasible"</formula>
    </cfRule>
    <cfRule type="cellIs" dxfId="43" priority="48" operator="equal">
      <formula>"Likely Feasible"</formula>
    </cfRule>
    <cfRule type="containsText" dxfId="42" priority="49" operator="containsText" text="Unlikely Feasibility">
      <formula>NOT(ISERROR(SEARCH("Unlikely Feasibility",G11)))</formula>
    </cfRule>
  </conditionalFormatting>
  <dataValidations count="2">
    <dataValidation type="list" allowBlank="1" showInputMessage="1" showErrorMessage="1" sqref="D9" xr:uid="{A19F20B2-F9F1-4122-8000-FF5A15CAEF95}">
      <formula1>"Higher Priced,Lower Priced"</formula1>
    </dataValidation>
    <dataValidation type="list" allowBlank="1" showInputMessage="1" showErrorMessage="1" sqref="D12" xr:uid="{0A840122-0A6D-46A4-9C00-65E7A1D7EC49}">
      <formula1>"60%,80%,100%,120%"</formula1>
    </dataValidation>
  </dataValidation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cellIs" priority="100" operator="greaterThanOrEqual" id="{8E0DC408-4886-47DD-871E-6B685B05B37E}">
            <xm:f>ModelInputs!$C$13</xm:f>
            <x14:dxf>
              <font>
                <color rgb="FF006100"/>
              </font>
              <fill>
                <patternFill>
                  <bgColor rgb="FFC6EFCE"/>
                </patternFill>
              </fill>
            </x14:dxf>
          </x14:cfRule>
          <x14:cfRule type="cellIs" priority="101" operator="between" id="{23F75909-25E6-48D8-A0CF-1186E372659C}">
            <xm:f>ModelInputs!$C$14</xm:f>
            <xm:f>ModelInputs!$C$13</xm:f>
            <x14:dxf>
              <font>
                <color theme="2" tint="-0.749961851863155"/>
              </font>
              <fill>
                <patternFill>
                  <bgColor rgb="FFCCCC00"/>
                </patternFill>
              </fill>
            </x14:dxf>
          </x14:cfRule>
          <x14:cfRule type="cellIs" priority="102" operator="lessThan" id="{F43065C0-90B1-446E-9357-FA3D1920D6A9}">
            <xm:f>ModelInputs!$C$14</xm:f>
            <x14:dxf>
              <font>
                <color rgb="FF9C0006"/>
              </font>
              <fill>
                <patternFill>
                  <bgColor rgb="FFFFC7CE"/>
                </patternFill>
              </fill>
            </x14:dxf>
          </x14:cfRule>
          <xm:sqref>G9</xm:sqref>
        </x14:conditionalFormatting>
        <x14:conditionalFormatting xmlns:xm="http://schemas.microsoft.com/office/excel/2006/main">
          <x14:cfRule type="cellIs" priority="94" operator="greaterThanOrEqual" id="{45B5DFB8-28C3-43FB-9207-4FEF5895F8A4}">
            <xm:f>ModelInputs!$C$13</xm:f>
            <x14:dxf>
              <font>
                <color rgb="FF006100"/>
              </font>
              <fill>
                <patternFill>
                  <bgColor rgb="FFC6EFCE"/>
                </patternFill>
              </fill>
            </x14:dxf>
          </x14:cfRule>
          <x14:cfRule type="cellIs" priority="95" operator="between" id="{3282E9F7-E25C-4C91-9815-1B02DF382ABD}">
            <xm:f>ModelInputs!$C$10</xm:f>
            <xm:f>ModelInputs!$C$9</xm:f>
            <x14:dxf>
              <font>
                <color theme="2" tint="-0.749961851863155"/>
              </font>
              <fill>
                <patternFill>
                  <bgColor rgb="FFCCCC00"/>
                </patternFill>
              </fill>
            </x14:dxf>
          </x14:cfRule>
          <x14:cfRule type="cellIs" priority="96" operator="lessThan" id="{9438E0F0-B39B-411D-BB31-A0ABD5939A9B}">
            <xm:f>ModelInputs!$C$10</xm:f>
            <x14:dxf>
              <font>
                <color rgb="FF9C0006"/>
              </font>
              <fill>
                <patternFill>
                  <bgColor rgb="FFFFC7CE"/>
                </patternFill>
              </fill>
            </x14:dxf>
          </x14:cfRule>
          <xm:sqref>I9</xm:sqref>
        </x14:conditionalFormatting>
        <x14:conditionalFormatting xmlns:xm="http://schemas.microsoft.com/office/excel/2006/main">
          <x14:cfRule type="cellIs" priority="97" operator="greaterThanOrEqual" id="{6AD9D616-9F11-4108-A2B2-03160269D05A}">
            <xm:f>ModelInputs!$C$5</xm:f>
            <x14:dxf>
              <font>
                <color rgb="FF006100"/>
              </font>
              <fill>
                <patternFill>
                  <bgColor rgb="FFC6EFCE"/>
                </patternFill>
              </fill>
            </x14:dxf>
          </x14:cfRule>
          <x14:cfRule type="cellIs" priority="98" operator="between" id="{7E67D845-2FDB-4CE6-9135-35CB7D1E7292}">
            <xm:f>ModelInputs!$C$6</xm:f>
            <xm:f>ModelInputs!$C$5</xm:f>
            <x14:dxf>
              <font>
                <color theme="2" tint="-0.749961851863155"/>
              </font>
              <fill>
                <patternFill>
                  <bgColor rgb="FFCCCC00"/>
                </patternFill>
              </fill>
            </x14:dxf>
          </x14:cfRule>
          <x14:cfRule type="cellIs" priority="99" operator="lessThan" id="{400FBAAD-3CD2-4DD2-ABB3-DECFAF04D55F}">
            <xm:f>ModelInputs!$C$6</xm:f>
            <x14:dxf>
              <font>
                <color rgb="FF9C0006"/>
              </font>
              <fill>
                <patternFill>
                  <bgColor rgb="FFFFC7CE"/>
                </patternFill>
              </fill>
            </x14:dxf>
          </x14:cfRule>
          <xm:sqref>K9</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64139D9C-717C-438F-8511-C5ABEABA0B25}">
          <x14:formula1>
            <xm:f>ModelInputs!$B$64:$B$68</xm:f>
          </x14:formula1>
          <xm:sqref>D7</xm:sqref>
        </x14:dataValidation>
        <x14:dataValidation type="list" allowBlank="1" showInputMessage="1" showErrorMessage="1" xr:uid="{6DB7BC46-3112-4A66-8F76-C720FD7288CA}">
          <x14:formula1>
            <xm:f>ModelInputs!$B$29:$B$32</xm:f>
          </x14:formula1>
          <xm:sqref>D8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859D4-4CCE-444C-8756-94FEEDE0FA97}">
  <sheetPr codeName="Sheet18"/>
  <dimension ref="A1:X833"/>
  <sheetViews>
    <sheetView topLeftCell="A2" zoomScale="57" zoomScaleNormal="70" workbookViewId="0">
      <selection activeCell="D15" sqref="D15"/>
    </sheetView>
  </sheetViews>
  <sheetFormatPr defaultColWidth="8.88671875" defaultRowHeight="14.4"/>
  <cols>
    <col min="1" max="1" width="3.5546875" style="3" customWidth="1"/>
    <col min="2" max="2" width="6.6640625" style="3" customWidth="1"/>
    <col min="3" max="3" width="25.88671875" style="3" customWidth="1"/>
    <col min="4" max="4" width="20" style="3" customWidth="1"/>
    <col min="5" max="5" width="16" style="3" customWidth="1"/>
    <col min="6" max="6" width="21.5546875" style="3" customWidth="1"/>
    <col min="7" max="7" width="19.88671875" style="3" customWidth="1"/>
    <col min="8" max="8" width="12" style="3" customWidth="1"/>
    <col min="9" max="9" width="17.44140625" style="3" customWidth="1"/>
    <col min="10" max="10" width="24.44140625" style="3" customWidth="1"/>
    <col min="11" max="11" width="7.109375" style="3" customWidth="1"/>
    <col min="12" max="12" width="24.88671875" style="3" customWidth="1"/>
    <col min="13" max="13" width="9.5546875" style="3" bestFit="1" customWidth="1"/>
    <col min="14" max="14" width="11" style="3" customWidth="1"/>
    <col min="15" max="15" width="11.5546875" style="3" customWidth="1"/>
    <col min="16" max="16" width="11" customWidth="1"/>
    <col min="17" max="17" width="21" bestFit="1" customWidth="1"/>
    <col min="18" max="18" width="11" customWidth="1"/>
    <col min="19" max="19" width="11.33203125" bestFit="1" customWidth="1"/>
    <col min="21" max="21" width="11.33203125" bestFit="1" customWidth="1"/>
    <col min="22" max="22" width="11.5546875" bestFit="1" customWidth="1"/>
    <col min="23" max="23" width="10.5546875" style="3" bestFit="1" customWidth="1"/>
    <col min="24" max="24" width="11.33203125" style="3" bestFit="1" customWidth="1"/>
    <col min="25" max="16384" width="8.88671875" style="3"/>
  </cols>
  <sheetData>
    <row r="1" spans="1:22" ht="27.75" customHeight="1" thickBot="1">
      <c r="A1" s="2"/>
      <c r="B1" s="2"/>
      <c r="C1" s="2"/>
      <c r="D1" s="2"/>
      <c r="E1" s="2"/>
      <c r="F1" s="2"/>
      <c r="G1" s="2"/>
      <c r="H1" s="2"/>
      <c r="I1" s="2"/>
      <c r="J1" s="2"/>
      <c r="K1" s="2"/>
      <c r="L1" s="2"/>
      <c r="M1" s="2"/>
      <c r="N1" s="2"/>
      <c r="O1" s="2"/>
      <c r="P1" s="3"/>
      <c r="Q1" s="3"/>
      <c r="R1" s="3"/>
      <c r="S1" s="3"/>
      <c r="T1" s="3"/>
      <c r="U1" s="3"/>
      <c r="V1" s="3"/>
    </row>
    <row r="2" spans="1:22">
      <c r="A2" s="2"/>
      <c r="B2" s="4"/>
      <c r="C2" s="5"/>
      <c r="D2" s="5"/>
      <c r="E2" s="5"/>
      <c r="F2" s="5"/>
      <c r="G2" s="5"/>
      <c r="H2" s="5"/>
      <c r="I2" s="208"/>
      <c r="J2" s="212"/>
      <c r="K2" s="212"/>
      <c r="L2" s="212"/>
      <c r="M2" s="212"/>
      <c r="N2" s="212"/>
      <c r="O2" s="213"/>
      <c r="P2" s="3"/>
      <c r="Q2" s="3"/>
      <c r="R2" s="3"/>
      <c r="S2" s="3"/>
      <c r="T2" s="3"/>
      <c r="U2" s="3"/>
      <c r="V2" s="3"/>
    </row>
    <row r="3" spans="1:22" ht="21">
      <c r="A3" s="2"/>
      <c r="B3" s="6"/>
      <c r="C3" s="42" t="s">
        <v>130</v>
      </c>
      <c r="D3" s="36"/>
      <c r="E3" s="36"/>
      <c r="F3" s="36"/>
      <c r="G3" s="37"/>
      <c r="H3" s="7"/>
      <c r="I3" s="209"/>
      <c r="J3" s="42" t="s">
        <v>132</v>
      </c>
      <c r="K3" s="56"/>
      <c r="L3" s="56"/>
      <c r="M3" s="56"/>
      <c r="N3" s="56"/>
      <c r="O3" s="215"/>
      <c r="P3" s="3"/>
      <c r="Q3" s="121" t="s">
        <v>97</v>
      </c>
      <c r="R3" s="121" t="s">
        <v>99</v>
      </c>
      <c r="T3" s="3"/>
      <c r="U3" s="3"/>
      <c r="V3" s="3"/>
    </row>
    <row r="4" spans="1:22" ht="21">
      <c r="A4" s="2"/>
      <c r="B4" s="6"/>
      <c r="C4" s="7"/>
      <c r="D4" s="7"/>
      <c r="E4" s="7"/>
      <c r="F4" s="7"/>
      <c r="G4" s="7"/>
      <c r="H4" s="7"/>
      <c r="I4" s="209"/>
      <c r="J4" s="214"/>
      <c r="K4" s="214"/>
      <c r="L4" s="214"/>
      <c r="M4" s="214"/>
      <c r="N4" s="214"/>
      <c r="O4" s="215"/>
      <c r="P4" s="3"/>
      <c r="Q4" s="106" t="s">
        <v>190</v>
      </c>
      <c r="R4" s="106"/>
      <c r="S4" s="1"/>
      <c r="T4" s="3"/>
      <c r="U4" s="3"/>
      <c r="V4" s="3"/>
    </row>
    <row r="5" spans="1:22" ht="21">
      <c r="A5" s="2"/>
      <c r="B5" s="6"/>
      <c r="C5" s="38" t="s">
        <v>29</v>
      </c>
      <c r="D5" s="39"/>
      <c r="E5" s="39"/>
      <c r="F5" s="39"/>
      <c r="G5" s="39"/>
      <c r="H5" s="7"/>
      <c r="I5" s="209"/>
      <c r="J5" s="216" t="s">
        <v>72</v>
      </c>
      <c r="K5" s="214"/>
      <c r="L5" s="216" t="s">
        <v>40</v>
      </c>
      <c r="M5" s="214"/>
      <c r="N5" s="216" t="s">
        <v>45</v>
      </c>
      <c r="O5" s="215"/>
      <c r="P5" s="3"/>
      <c r="Q5" s="108" t="s">
        <v>177</v>
      </c>
      <c r="R5" s="108" t="s">
        <v>176</v>
      </c>
      <c r="T5" s="3"/>
      <c r="U5" s="3"/>
      <c r="V5" s="3"/>
    </row>
    <row r="6" spans="1:22" ht="21.6" thickBot="1">
      <c r="A6" s="2"/>
      <c r="B6" s="6"/>
      <c r="C6" s="7"/>
      <c r="D6" s="24"/>
      <c r="E6" s="7"/>
      <c r="F6" s="7"/>
      <c r="G6" s="7"/>
      <c r="H6" s="7"/>
      <c r="I6" s="209"/>
      <c r="J6" s="217"/>
      <c r="K6" s="214"/>
      <c r="L6" s="217"/>
      <c r="M6" s="214"/>
      <c r="N6" s="217"/>
      <c r="O6" s="215"/>
      <c r="P6" s="3"/>
      <c r="Q6" s="108"/>
      <c r="R6" s="108" t="s">
        <v>101</v>
      </c>
      <c r="T6" s="3"/>
      <c r="U6" s="3"/>
      <c r="V6" s="3"/>
    </row>
    <row r="7" spans="1:22" ht="22.2" thickTop="1" thickBot="1">
      <c r="A7" s="2"/>
      <c r="B7" s="6"/>
      <c r="C7" s="8" t="s">
        <v>89</v>
      </c>
      <c r="D7" s="88" t="s">
        <v>92</v>
      </c>
      <c r="E7" s="7"/>
      <c r="F7" s="7"/>
      <c r="G7" s="7"/>
      <c r="H7" s="7"/>
      <c r="I7" s="209"/>
      <c r="J7" s="214"/>
      <c r="K7" s="214"/>
      <c r="L7" s="214"/>
      <c r="M7" s="214"/>
      <c r="N7" s="214"/>
      <c r="O7" s="215"/>
      <c r="P7" s="3"/>
      <c r="Q7" s="55"/>
      <c r="R7" s="108" t="s">
        <v>191</v>
      </c>
      <c r="S7" s="3"/>
      <c r="T7" s="3"/>
      <c r="U7" s="3"/>
      <c r="V7" s="3"/>
    </row>
    <row r="8" spans="1:22" ht="22.2" customHeight="1" thickTop="1" thickBot="1">
      <c r="A8" s="2"/>
      <c r="B8" s="6"/>
      <c r="C8" s="8" t="s">
        <v>3</v>
      </c>
      <c r="D8" s="88" t="s">
        <v>24</v>
      </c>
      <c r="E8" s="82" t="s">
        <v>69</v>
      </c>
      <c r="F8" s="7"/>
      <c r="G8" s="7"/>
      <c r="H8" s="7"/>
      <c r="I8" s="209"/>
      <c r="J8" s="57" t="s">
        <v>103</v>
      </c>
      <c r="K8" s="214"/>
      <c r="L8" s="57" t="s">
        <v>103</v>
      </c>
      <c r="M8" s="214"/>
      <c r="N8" s="81" t="s">
        <v>46</v>
      </c>
      <c r="O8" s="215"/>
      <c r="P8" s="3"/>
      <c r="Q8" s="55"/>
      <c r="R8" s="3"/>
      <c r="S8" s="3"/>
      <c r="T8" s="3"/>
      <c r="U8" s="3"/>
      <c r="V8" s="3"/>
    </row>
    <row r="9" spans="1:22" ht="22.8" customHeight="1" thickTop="1" thickBot="1">
      <c r="A9" s="2"/>
      <c r="B9" s="6"/>
      <c r="C9" s="8" t="s">
        <v>52</v>
      </c>
      <c r="D9" s="88" t="s">
        <v>96</v>
      </c>
      <c r="E9" s="82" t="s">
        <v>69</v>
      </c>
      <c r="F9" s="7"/>
      <c r="G9" s="7"/>
      <c r="H9" s="82"/>
      <c r="I9" s="210"/>
      <c r="J9" s="61">
        <f>(Sale_Price-Total_Project_Costs)/Total_Project_Costs</f>
        <v>0.25</v>
      </c>
      <c r="K9" s="219"/>
      <c r="L9" s="61">
        <f>(Incentive_Sales_Price-Incentive_Total_Project_Costs)/Incentive_Total_Project_Costs</f>
        <v>0.25</v>
      </c>
      <c r="M9" s="220"/>
      <c r="N9" s="231">
        <f>Incentive_Yield_on_Cost-Yield_on_Cost</f>
        <v>0</v>
      </c>
      <c r="O9" s="215"/>
      <c r="P9" s="3"/>
      <c r="Q9" s="55"/>
      <c r="R9" s="3"/>
      <c r="S9" s="3"/>
      <c r="T9" s="3"/>
      <c r="U9" s="3"/>
      <c r="V9" s="3"/>
    </row>
    <row r="10" spans="1:22" ht="19.2" thickTop="1" thickBot="1">
      <c r="A10" s="2"/>
      <c r="B10" s="6"/>
      <c r="C10" s="7"/>
      <c r="D10" s="7"/>
      <c r="E10" s="7"/>
      <c r="F10" s="233" t="s">
        <v>66</v>
      </c>
      <c r="G10" s="158">
        <f>Total_Units-G12</f>
        <v>100</v>
      </c>
      <c r="H10" s="82"/>
      <c r="I10" s="209"/>
      <c r="J10" s="58" t="str">
        <f>IF(J9&gt;=ModelInputs!$C$13,"Likely Feasible",IF(AND(J9&lt;ModelInputs!$C$13,J9&gt;=ModelInputs!$C$14),"Possibly Feasible","Unlikely Feasibility"))</f>
        <v>Likely Feasible</v>
      </c>
      <c r="K10" s="220"/>
      <c r="L10" s="58" t="str">
        <f>IF(L9&gt;=ModelInputs!$C$13,"Likely Feasible",IF(AND(L9&lt;ModelInputs!$C$13,L9&gt;=ModelInputs!$C$14),"Possibly Feasible","Unlikely Feasibility"))</f>
        <v>Likely Feasible</v>
      </c>
      <c r="M10" s="220"/>
      <c r="N10" s="232"/>
      <c r="O10" s="215"/>
      <c r="P10" s="3"/>
      <c r="Q10" s="55"/>
      <c r="R10" s="3"/>
      <c r="S10" s="3"/>
      <c r="T10" s="3"/>
      <c r="U10" s="3"/>
      <c r="V10" s="3"/>
    </row>
    <row r="11" spans="1:22" ht="18.600000000000001" thickBot="1">
      <c r="A11" s="2"/>
      <c r="B11" s="6"/>
      <c r="C11" s="10" t="s">
        <v>53</v>
      </c>
      <c r="D11" s="48">
        <v>100</v>
      </c>
      <c r="E11" s="8"/>
      <c r="F11" s="234"/>
      <c r="G11" s="159" cm="1">
        <f t="array" ref="G11">IF(Price_Land_Context="Lower Priced",_xlfn.XLOOKUP(D7,ModelInputs!B57:B61,_xlfn.XLOOKUP(Building_Type,ModelInputs!C56:F56,ModelInputs!C57:F61)),IF(Price_Land_Context="Higher Priced",_xlfn.XLOOKUP(D7,ModelInputs!B64:B68,_xlfn.XLOOKUP(Building_Type,ModelInputs!C63:F63,ModelInputs!C64:F68)),0))</f>
        <v>450000</v>
      </c>
      <c r="H11" s="82"/>
      <c r="I11" s="209"/>
      <c r="J11" s="214"/>
      <c r="K11" s="221"/>
      <c r="L11" s="214"/>
      <c r="M11" s="221"/>
      <c r="N11" s="227"/>
      <c r="O11" s="215"/>
      <c r="P11" s="3"/>
      <c r="Q11" s="3"/>
      <c r="R11" s="3"/>
      <c r="S11" s="3"/>
      <c r="T11" s="3"/>
      <c r="U11" s="3"/>
      <c r="V11" s="3"/>
    </row>
    <row r="12" spans="1:22" ht="18.600000000000001" thickBot="1">
      <c r="A12" s="2"/>
      <c r="B12" s="6"/>
      <c r="C12" s="7"/>
      <c r="D12" s="7"/>
      <c r="E12" s="7"/>
      <c r="F12" s="234" t="s">
        <v>28</v>
      </c>
      <c r="G12" s="160">
        <f>Total_Units*AMI_Band_1_Pct</f>
        <v>0</v>
      </c>
      <c r="H12" s="82"/>
      <c r="I12" s="209"/>
      <c r="J12" s="57" t="s">
        <v>113</v>
      </c>
      <c r="K12" s="214"/>
      <c r="L12" s="57" t="s">
        <v>113</v>
      </c>
      <c r="M12" s="223"/>
      <c r="N12" s="92" t="s">
        <v>17</v>
      </c>
      <c r="O12" s="215"/>
      <c r="P12" s="3"/>
      <c r="Q12" s="3"/>
      <c r="R12" s="3"/>
      <c r="S12" s="3"/>
      <c r="T12" s="3"/>
      <c r="U12" s="3"/>
      <c r="V12" s="3"/>
    </row>
    <row r="13" spans="1:22" ht="19.2" thickTop="1" thickBot="1">
      <c r="A13" s="2"/>
      <c r="B13" s="6"/>
      <c r="C13" s="85" t="s">
        <v>91</v>
      </c>
      <c r="D13" s="157">
        <v>0.6</v>
      </c>
      <c r="E13" s="7"/>
      <c r="F13" s="235"/>
      <c r="G13" s="161">
        <f>_xlfn.XLOOKUP(D7,ModelInputs!B71:B75,ModelInputs!C71:C75)*AMI_Band_1_Type*3</f>
        <v>234000</v>
      </c>
      <c r="H13" s="82"/>
      <c r="I13" s="209"/>
      <c r="J13" s="61">
        <f>XIRR(J76:J256,M76:M256,0.05)</f>
        <v>0.19179762005805973</v>
      </c>
      <c r="K13" s="222"/>
      <c r="L13" s="61">
        <f>XIRR(J449:J629,M449:M629,0.05)</f>
        <v>0.19179762005805973</v>
      </c>
      <c r="M13" s="214"/>
      <c r="N13" s="231">
        <f>L13-IRR</f>
        <v>0</v>
      </c>
      <c r="O13" s="215"/>
      <c r="P13" s="3"/>
      <c r="Q13" s="3"/>
      <c r="R13" s="3"/>
      <c r="S13" s="3"/>
      <c r="T13" s="3"/>
      <c r="U13" s="3"/>
      <c r="V13" s="3"/>
    </row>
    <row r="14" spans="1:22" ht="16.95" customHeight="1" thickTop="1" thickBot="1">
      <c r="A14" s="2"/>
      <c r="B14" s="6"/>
      <c r="C14" s="96" t="s">
        <v>30</v>
      </c>
      <c r="D14" s="83">
        <v>0</v>
      </c>
      <c r="E14" s="82"/>
      <c r="F14" s="7"/>
      <c r="G14" s="7"/>
      <c r="H14" s="82"/>
      <c r="I14" s="209"/>
      <c r="J14" s="120" t="str">
        <f>IF(J13&gt;=ModelInputs!$C$9,"Likely Feasible",IF(AND(J13&lt;ModelInputs!$C$9,J13&gt;=ModelInputs!$C$10),"Possibly Feasible","Unlikely Feasibility"))</f>
        <v>Possibly Feasible</v>
      </c>
      <c r="K14" s="223"/>
      <c r="L14" s="120" t="str">
        <f>IF(L13&gt;=ModelInputs!$C$9,"Likely Feasible",IF(AND(L13&lt;ModelInputs!$C$9,L13&gt;=ModelInputs!$C$10),"Possibly Feasible","Unlikely Feasibility"))</f>
        <v>Possibly Feasible</v>
      </c>
      <c r="M14" s="226"/>
      <c r="N14" s="232"/>
      <c r="O14" s="215"/>
      <c r="P14" s="3"/>
      <c r="Q14" s="3"/>
      <c r="R14" s="3"/>
      <c r="S14" s="3"/>
      <c r="T14" s="3"/>
      <c r="U14" s="3"/>
      <c r="V14" s="3"/>
    </row>
    <row r="15" spans="1:22" ht="16.5" customHeight="1" thickBot="1">
      <c r="A15" s="2"/>
      <c r="B15" s="6"/>
      <c r="C15" s="7"/>
      <c r="D15" s="7"/>
      <c r="E15" s="82"/>
      <c r="F15" s="7"/>
      <c r="G15" s="7"/>
      <c r="H15" s="7"/>
      <c r="I15" s="209"/>
      <c r="J15" s="223"/>
      <c r="K15" s="223"/>
      <c r="L15" s="223"/>
      <c r="M15" s="223"/>
      <c r="N15" s="223"/>
      <c r="O15" s="215"/>
      <c r="P15" s="3"/>
      <c r="Q15" s="3"/>
      <c r="R15" s="3"/>
      <c r="S15" s="3"/>
      <c r="T15" s="3"/>
      <c r="U15" s="3"/>
      <c r="V15" s="3"/>
    </row>
    <row r="16" spans="1:22" ht="18.600000000000001" thickBot="1">
      <c r="A16" s="2"/>
      <c r="B16" s="6"/>
      <c r="C16" s="40" t="s">
        <v>31</v>
      </c>
      <c r="D16" s="39"/>
      <c r="E16" s="39"/>
      <c r="F16" s="39"/>
      <c r="G16" s="39"/>
      <c r="H16" s="82"/>
      <c r="I16" s="209"/>
      <c r="J16" s="57" t="s">
        <v>114</v>
      </c>
      <c r="K16" s="214"/>
      <c r="L16" s="57" t="s">
        <v>114</v>
      </c>
      <c r="M16" s="214"/>
      <c r="N16" s="92" t="s">
        <v>17</v>
      </c>
      <c r="O16" s="215"/>
      <c r="P16" s="3"/>
      <c r="Q16" s="3"/>
      <c r="R16" s="3"/>
      <c r="S16" s="3"/>
      <c r="T16" s="3"/>
      <c r="U16" s="3"/>
      <c r="V16" s="3"/>
    </row>
    <row r="17" spans="1:22" ht="18.600000000000001" thickBot="1">
      <c r="A17" s="2"/>
      <c r="B17" s="6"/>
      <c r="C17" s="10"/>
      <c r="D17" s="10"/>
      <c r="E17" s="50"/>
      <c r="F17" s="9"/>
      <c r="G17" s="7"/>
      <c r="H17" s="7"/>
      <c r="I17" s="209"/>
      <c r="J17" s="61">
        <f>XIRR(J261:J441,M261:M441,0.05)</f>
        <v>0.12140461802482608</v>
      </c>
      <c r="K17" s="224"/>
      <c r="L17" s="61">
        <f>XIRR(J635:J815,M635:M815,0.05)</f>
        <v>0.12140461802482608</v>
      </c>
      <c r="M17" s="214"/>
      <c r="N17" s="231">
        <f>L17-J17</f>
        <v>0</v>
      </c>
      <c r="O17" s="215"/>
      <c r="P17" s="3"/>
      <c r="Q17" s="3"/>
      <c r="R17" s="3"/>
      <c r="S17" s="3"/>
      <c r="T17" s="3"/>
      <c r="U17" s="3"/>
      <c r="V17" s="3"/>
    </row>
    <row r="18" spans="1:22" ht="19.2" thickTop="1" thickBot="1">
      <c r="A18" s="2"/>
      <c r="B18" s="6"/>
      <c r="C18" s="170" t="s">
        <v>159</v>
      </c>
      <c r="D18" s="164" t="s">
        <v>8</v>
      </c>
      <c r="E18" s="82" t="s">
        <v>69</v>
      </c>
      <c r="F18" s="78" t="s">
        <v>189</v>
      </c>
      <c r="G18" s="87" t="s">
        <v>8</v>
      </c>
      <c r="H18" s="82" t="s">
        <v>69</v>
      </c>
      <c r="I18" s="209"/>
      <c r="J18" s="120" t="str">
        <f>IF(J17&gt;=ModelInputs!$C$5,"Likely Feasible",IF(AND(J17&lt;ModelInputs!$C$5,J17&gt;=ModelInputs!$C$6),"Possibly Feasible","Unlikely Feasibility"))</f>
        <v>Likely Feasible</v>
      </c>
      <c r="K18" s="214"/>
      <c r="L18" s="120" t="str">
        <f>IF(L17&gt;=ModelInputs!$C$5,"Likely Feasible",IF(AND(L17&lt;ModelInputs!$C$5,L17&gt;=ModelInputs!$C$6),"Possibly Feasible","Unlikely Feasibility"))</f>
        <v>Likely Feasible</v>
      </c>
      <c r="M18" s="214"/>
      <c r="N18" s="232"/>
      <c r="O18" s="215"/>
      <c r="P18" s="3"/>
      <c r="Q18" s="3"/>
      <c r="R18" s="3"/>
      <c r="S18" s="3"/>
      <c r="T18" s="3"/>
      <c r="U18" s="3"/>
      <c r="V18" s="3"/>
    </row>
    <row r="19" spans="1:22" ht="15" thickTop="1">
      <c r="A19" s="2"/>
      <c r="B19" s="6"/>
      <c r="C19" s="171" t="s">
        <v>133</v>
      </c>
      <c r="D19" s="166" t="s">
        <v>9</v>
      </c>
      <c r="E19" s="50"/>
      <c r="F19" s="79"/>
      <c r="G19" s="75" t="s">
        <v>9</v>
      </c>
      <c r="H19" s="50"/>
      <c r="I19" s="209"/>
      <c r="J19" s="228"/>
      <c r="K19" s="214"/>
      <c r="L19" s="228"/>
      <c r="M19" s="214"/>
      <c r="N19" s="228"/>
      <c r="O19" s="215"/>
      <c r="P19" s="3"/>
      <c r="Q19" s="3"/>
      <c r="R19" s="3"/>
      <c r="S19" s="3"/>
      <c r="T19" s="3"/>
      <c r="U19" s="3"/>
      <c r="V19" s="3"/>
    </row>
    <row r="20" spans="1:22" ht="16.95" customHeight="1">
      <c r="A20" s="2"/>
      <c r="B20" s="6"/>
      <c r="C20" s="165" t="s">
        <v>180</v>
      </c>
      <c r="D20" s="173">
        <v>0.1</v>
      </c>
      <c r="E20" s="82" t="s">
        <v>70</v>
      </c>
      <c r="F20" s="74"/>
      <c r="G20" s="76">
        <v>0.25</v>
      </c>
      <c r="H20" s="82" t="s">
        <v>70</v>
      </c>
      <c r="I20" s="209"/>
      <c r="J20" s="223"/>
      <c r="K20" s="223"/>
      <c r="L20" s="223"/>
      <c r="M20" s="214"/>
      <c r="N20" s="214"/>
      <c r="O20" s="215"/>
      <c r="P20" s="3"/>
      <c r="Q20" s="3"/>
      <c r="R20" s="3"/>
      <c r="S20" s="3"/>
      <c r="T20" s="3"/>
      <c r="U20" s="3"/>
      <c r="V20" s="3"/>
    </row>
    <row r="21" spans="1:22">
      <c r="A21" s="2"/>
      <c r="B21" s="6"/>
      <c r="C21" s="165"/>
      <c r="D21" s="166" t="s">
        <v>183</v>
      </c>
      <c r="E21" s="82"/>
      <c r="F21" s="80"/>
      <c r="G21" s="77" t="s">
        <v>51</v>
      </c>
      <c r="H21" s="7"/>
      <c r="I21" s="209"/>
      <c r="J21" s="223"/>
      <c r="K21" s="223"/>
      <c r="L21" s="223"/>
      <c r="M21" s="214"/>
      <c r="N21" s="214"/>
      <c r="O21" s="215"/>
      <c r="P21" s="3"/>
      <c r="Q21" s="3"/>
      <c r="R21" s="3"/>
      <c r="S21" s="3"/>
      <c r="T21" s="3"/>
      <c r="U21" s="3"/>
      <c r="V21" s="3"/>
    </row>
    <row r="22" spans="1:22" ht="15.6">
      <c r="A22" s="2"/>
      <c r="B22" s="6"/>
      <c r="C22" s="168" t="s">
        <v>184</v>
      </c>
      <c r="D22" s="172">
        <f>IF(Abatement_RentGap="Yes",_xlfn.XLOOKUP(D7,C823:C827,D823:D827),0)</f>
        <v>0</v>
      </c>
      <c r="E22" s="82"/>
      <c r="F22" s="144" t="s">
        <v>134</v>
      </c>
      <c r="G22" s="143">
        <f>IF(Land_Provision="Yes",(Land_Provision_Pct*Land_Costs),0)</f>
        <v>0</v>
      </c>
      <c r="H22" s="7"/>
      <c r="I22" s="209"/>
      <c r="J22" s="223"/>
      <c r="K22" s="223"/>
      <c r="L22" s="223"/>
      <c r="M22" s="214"/>
      <c r="N22" s="214"/>
      <c r="O22" s="215"/>
      <c r="P22" s="3"/>
      <c r="Q22" s="3"/>
      <c r="R22" s="3"/>
      <c r="S22" s="3"/>
      <c r="T22" s="3"/>
      <c r="U22" s="3"/>
      <c r="V22" s="3"/>
    </row>
    <row r="23" spans="1:22">
      <c r="A23" s="2"/>
      <c r="B23" s="6"/>
      <c r="C23" s="50"/>
      <c r="D23" s="50"/>
      <c r="E23" s="59"/>
      <c r="F23" s="9"/>
      <c r="G23" s="7"/>
      <c r="H23" s="82"/>
      <c r="I23" s="209"/>
      <c r="J23" s="223"/>
      <c r="K23" s="223"/>
      <c r="L23" s="223"/>
      <c r="M23" s="214"/>
      <c r="N23" s="214"/>
      <c r="O23" s="215"/>
      <c r="P23" s="3"/>
      <c r="Q23" s="3"/>
      <c r="R23" s="3"/>
      <c r="S23" s="3"/>
      <c r="T23" s="3"/>
      <c r="U23" s="3"/>
      <c r="V23" s="3"/>
    </row>
    <row r="24" spans="1:22">
      <c r="A24" s="2"/>
      <c r="B24" s="6"/>
      <c r="C24" s="50"/>
      <c r="D24" s="50"/>
      <c r="E24" s="50"/>
      <c r="F24" s="9"/>
      <c r="G24" s="7"/>
      <c r="H24" s="7"/>
      <c r="I24" s="209"/>
      <c r="J24" s="223"/>
      <c r="K24" s="223"/>
      <c r="L24" s="223"/>
      <c r="M24" s="214"/>
      <c r="N24" s="214"/>
      <c r="O24" s="215"/>
      <c r="P24" s="3"/>
      <c r="Q24" s="3"/>
      <c r="R24" s="3"/>
      <c r="S24" s="3"/>
      <c r="T24" s="3"/>
      <c r="U24" s="3"/>
      <c r="V24" s="3"/>
    </row>
    <row r="25" spans="1:22">
      <c r="A25" s="2"/>
      <c r="B25" s="6"/>
      <c r="C25" s="50"/>
      <c r="D25" s="50"/>
      <c r="E25" s="50"/>
      <c r="F25" s="9"/>
      <c r="G25" s="7"/>
      <c r="H25" s="7"/>
      <c r="I25" s="209"/>
      <c r="J25" s="223"/>
      <c r="K25" s="223"/>
      <c r="L25" s="223"/>
      <c r="M25" s="214"/>
      <c r="N25" s="214"/>
      <c r="O25" s="215"/>
      <c r="P25" s="3"/>
      <c r="Q25" s="3"/>
      <c r="R25" s="3"/>
      <c r="S25" s="3"/>
      <c r="T25" s="3"/>
      <c r="U25" s="3"/>
      <c r="V25" s="3"/>
    </row>
    <row r="26" spans="1:22">
      <c r="A26" s="2"/>
      <c r="B26" s="6"/>
      <c r="C26" s="50"/>
      <c r="D26" s="50"/>
      <c r="E26" s="50"/>
      <c r="F26" s="9"/>
      <c r="G26" s="7"/>
      <c r="H26" s="7"/>
      <c r="I26" s="209"/>
      <c r="J26" s="223"/>
      <c r="K26" s="223"/>
      <c r="L26" s="223"/>
      <c r="M26" s="214"/>
      <c r="N26" s="214"/>
      <c r="O26" s="215"/>
      <c r="P26" s="3"/>
      <c r="Q26" s="3"/>
      <c r="R26" s="3"/>
      <c r="S26" s="3"/>
      <c r="T26" s="3"/>
      <c r="U26" s="3"/>
      <c r="V26" s="3"/>
    </row>
    <row r="27" spans="1:22" ht="15" thickBot="1">
      <c r="A27" s="2"/>
      <c r="B27" s="6"/>
      <c r="C27" s="163" t="s">
        <v>186</v>
      </c>
      <c r="D27" s="164" t="s">
        <v>8</v>
      </c>
      <c r="E27" s="82" t="s">
        <v>69</v>
      </c>
      <c r="F27" s="163" t="s">
        <v>140</v>
      </c>
      <c r="G27" s="164" t="s">
        <v>8</v>
      </c>
      <c r="H27" s="82" t="s">
        <v>69</v>
      </c>
      <c r="I27" s="209"/>
      <c r="J27" s="223"/>
      <c r="K27" s="223"/>
      <c r="L27" s="223"/>
      <c r="M27" s="214"/>
      <c r="N27" s="214"/>
      <c r="O27" s="215"/>
      <c r="P27" s="3"/>
      <c r="Q27" s="3"/>
      <c r="R27" s="3"/>
      <c r="S27" s="3"/>
      <c r="T27" s="3"/>
      <c r="U27" s="3"/>
      <c r="V27" s="3"/>
    </row>
    <row r="28" spans="1:22" ht="15" thickTop="1">
      <c r="A28" s="2"/>
      <c r="B28" s="6"/>
      <c r="C28" s="165"/>
      <c r="D28" s="166" t="s">
        <v>9</v>
      </c>
      <c r="E28" s="50"/>
      <c r="F28" s="165"/>
      <c r="G28" s="166" t="s">
        <v>9</v>
      </c>
      <c r="H28" s="50"/>
      <c r="I28" s="209"/>
      <c r="J28" s="223"/>
      <c r="K28" s="223"/>
      <c r="L28" s="223"/>
      <c r="M28" s="214"/>
      <c r="N28" s="214"/>
      <c r="O28" s="215"/>
      <c r="P28" s="3"/>
      <c r="Q28" s="3"/>
      <c r="R28" s="3"/>
      <c r="S28" s="3"/>
      <c r="T28" s="3"/>
      <c r="U28" s="3"/>
      <c r="V28" s="3"/>
    </row>
    <row r="29" spans="1:22">
      <c r="A29" s="2"/>
      <c r="B29" s="6"/>
      <c r="C29" s="165"/>
      <c r="D29" s="194">
        <v>750000</v>
      </c>
      <c r="E29" s="82" t="s">
        <v>70</v>
      </c>
      <c r="F29" s="165"/>
      <c r="G29" s="167">
        <v>1</v>
      </c>
      <c r="H29" s="82" t="s">
        <v>70</v>
      </c>
      <c r="I29" s="209"/>
      <c r="J29" s="214"/>
      <c r="K29" s="214"/>
      <c r="L29" s="214"/>
      <c r="M29" s="214"/>
      <c r="N29" s="214"/>
      <c r="O29" s="215"/>
      <c r="P29" s="3"/>
      <c r="Q29" s="3"/>
      <c r="R29" s="3"/>
      <c r="S29" s="3"/>
      <c r="T29" s="3"/>
      <c r="U29" s="3"/>
      <c r="V29" s="3"/>
    </row>
    <row r="30" spans="1:22" ht="15" thickBot="1">
      <c r="A30" s="2"/>
      <c r="B30" s="6"/>
      <c r="C30" s="168"/>
      <c r="D30" s="169" t="s">
        <v>187</v>
      </c>
      <c r="E30" s="59"/>
      <c r="F30" s="168"/>
      <c r="G30" s="169" t="s">
        <v>141</v>
      </c>
      <c r="H30" s="7"/>
      <c r="I30" s="211"/>
      <c r="J30" s="225"/>
      <c r="K30" s="225"/>
      <c r="L30" s="229"/>
      <c r="M30" s="225"/>
      <c r="N30" s="225"/>
      <c r="O30" s="218"/>
      <c r="P30" s="3"/>
      <c r="Q30" s="3"/>
      <c r="R30" s="3"/>
      <c r="S30" s="3"/>
      <c r="T30" s="3"/>
      <c r="U30" s="3"/>
      <c r="V30" s="3"/>
    </row>
    <row r="31" spans="1:22">
      <c r="A31" s="2"/>
      <c r="B31" s="6"/>
      <c r="C31" s="59"/>
      <c r="D31" s="59"/>
      <c r="E31" s="59"/>
      <c r="F31" s="9"/>
      <c r="G31" s="7"/>
      <c r="H31" s="7"/>
      <c r="I31" s="7"/>
      <c r="J31" s="7"/>
      <c r="K31" s="7"/>
      <c r="L31" s="7"/>
      <c r="M31" s="7"/>
      <c r="N31" s="62"/>
      <c r="O31" s="12"/>
      <c r="P31" s="3"/>
      <c r="Q31" s="3"/>
      <c r="R31" s="3"/>
      <c r="S31" s="3"/>
      <c r="T31" s="3"/>
      <c r="U31" s="3"/>
      <c r="V31" s="3"/>
    </row>
    <row r="32" spans="1:22" ht="18">
      <c r="A32" s="2"/>
      <c r="B32" s="6"/>
      <c r="C32" s="40" t="s">
        <v>54</v>
      </c>
      <c r="D32" s="39"/>
      <c r="E32" s="39"/>
      <c r="F32" s="39"/>
      <c r="G32" s="39"/>
      <c r="H32" s="7"/>
      <c r="I32" s="7"/>
      <c r="J32" s="7"/>
      <c r="K32" s="7"/>
      <c r="L32" s="7"/>
      <c r="M32" s="7"/>
      <c r="N32" s="62"/>
      <c r="O32" s="12"/>
      <c r="P32" s="3"/>
      <c r="Q32" s="3"/>
      <c r="R32" s="3"/>
      <c r="S32" s="3"/>
      <c r="T32" s="3"/>
      <c r="U32" s="3"/>
      <c r="V32" s="3"/>
    </row>
    <row r="33" spans="1:22">
      <c r="A33" s="2"/>
      <c r="B33" s="6"/>
      <c r="C33" s="7"/>
      <c r="D33" s="7"/>
      <c r="E33" s="7"/>
      <c r="F33" s="7"/>
      <c r="G33" s="7"/>
      <c r="H33" s="7"/>
      <c r="I33" s="7"/>
      <c r="J33" s="7"/>
      <c r="K33" s="7"/>
      <c r="L33" s="7"/>
      <c r="M33" s="7"/>
      <c r="N33" s="62"/>
      <c r="O33" s="12"/>
      <c r="P33" s="3"/>
      <c r="Q33" s="3"/>
      <c r="R33" s="3"/>
      <c r="S33" s="3"/>
      <c r="T33" s="3"/>
      <c r="U33" s="3"/>
      <c r="V33" s="3"/>
    </row>
    <row r="34" spans="1:22">
      <c r="A34" s="2"/>
      <c r="B34" s="6"/>
      <c r="C34" s="7"/>
      <c r="D34" s="9" t="s">
        <v>4</v>
      </c>
      <c r="E34" s="9"/>
      <c r="F34" s="9"/>
      <c r="G34" s="9" t="s">
        <v>5</v>
      </c>
      <c r="H34" s="62"/>
      <c r="I34" s="7"/>
      <c r="J34" s="7"/>
      <c r="K34" s="7"/>
      <c r="L34" s="7"/>
      <c r="M34" s="7"/>
      <c r="N34" s="62"/>
      <c r="O34" s="12"/>
      <c r="P34" s="3"/>
      <c r="Q34" s="3"/>
      <c r="R34" s="3"/>
      <c r="S34" s="3"/>
      <c r="T34" s="3"/>
      <c r="U34" s="3"/>
      <c r="V34" s="3"/>
    </row>
    <row r="35" spans="1:22">
      <c r="A35" s="2"/>
      <c r="B35" s="6"/>
      <c r="C35" s="10" t="s">
        <v>193</v>
      </c>
      <c r="D35" s="49">
        <f>Total_Units*IF(Total_Units&gt;50,_xlfn.XLOOKUP(Building_Type,ModelInputs!B29:B32,ModelInputs!D29:D32),_xlfn.XLOOKUP(Building_Type,ModelInputs!B29:B32,ModelInputs!C29:C32))</f>
        <v>2000000</v>
      </c>
      <c r="E35" s="50"/>
      <c r="F35" s="10" t="s">
        <v>193</v>
      </c>
      <c r="G35" s="49">
        <f>Pre_Development_Costs-(Fees-G57)-IF(D27="Yes",Forgivable_Loan_Amt,0)</f>
        <v>2000000</v>
      </c>
      <c r="H35" s="60"/>
      <c r="I35" s="7"/>
      <c r="J35" s="7"/>
      <c r="K35" s="7"/>
      <c r="L35" s="7"/>
      <c r="M35" s="7"/>
      <c r="N35" s="62"/>
      <c r="O35" s="12"/>
      <c r="P35" s="3"/>
      <c r="Q35" s="3"/>
      <c r="R35" s="3"/>
      <c r="S35" s="3"/>
      <c r="T35" s="3"/>
      <c r="U35" s="3"/>
      <c r="V35" s="3"/>
    </row>
    <row r="36" spans="1:22">
      <c r="A36" s="2"/>
      <c r="B36" s="6"/>
      <c r="C36" s="10" t="s">
        <v>67</v>
      </c>
      <c r="D36" s="49" cm="1">
        <f t="array" ref="D36">Total_Units*_xlfn.XLOOKUP(Building_Type,ModelInputs!B37:B40,_xlfn.XLOOKUP(Price_Land_Context,ModelInputs!C36:D36,ModelInputs!C37:D40))</f>
        <v>30000000</v>
      </c>
      <c r="E36" s="50"/>
      <c r="F36" s="10" t="s">
        <v>67</v>
      </c>
      <c r="G36" s="49">
        <f>Construction_Costs</f>
        <v>30000000</v>
      </c>
      <c r="H36" s="82"/>
      <c r="I36" s="7"/>
      <c r="J36" s="7"/>
      <c r="K36" s="7"/>
      <c r="L36" s="7"/>
      <c r="M36" s="7"/>
      <c r="N36" s="7"/>
      <c r="O36" s="12"/>
      <c r="P36" s="3"/>
      <c r="Q36" s="3"/>
      <c r="R36" s="3"/>
      <c r="S36" s="3"/>
      <c r="T36" s="3"/>
      <c r="U36" s="3"/>
      <c r="V36" s="3"/>
    </row>
    <row r="37" spans="1:22">
      <c r="A37" s="2"/>
      <c r="B37" s="6"/>
      <c r="C37" s="10" t="s">
        <v>6</v>
      </c>
      <c r="D37" s="49" cm="1">
        <f t="array" ref="D37">Total_Units*_xlfn.XLOOKUP(Building_Type,ModelInputs!C19:F19,_xlfn.XLOOKUP(D7,ModelInputs!B20:B24,ModelInputs!C20:F24))</f>
        <v>4000000</v>
      </c>
      <c r="E37" s="50"/>
      <c r="F37" s="10" t="s">
        <v>6</v>
      </c>
      <c r="G37" s="49">
        <f>Land_Costs-IF(Land_Provision="Yes",G22,0)</f>
        <v>4000000</v>
      </c>
      <c r="H37" s="7"/>
      <c r="I37" s="7"/>
      <c r="J37" s="7"/>
      <c r="K37" s="7"/>
      <c r="L37" s="7"/>
      <c r="M37" s="7"/>
      <c r="N37" s="7"/>
      <c r="O37" s="12"/>
      <c r="P37" s="3"/>
      <c r="Q37" s="3"/>
      <c r="R37" s="3"/>
      <c r="S37" s="3"/>
      <c r="T37" s="3"/>
      <c r="U37" s="3"/>
      <c r="V37" s="3"/>
    </row>
    <row r="38" spans="1:22">
      <c r="A38" s="2"/>
      <c r="B38" s="6"/>
      <c r="C38" s="10" t="s">
        <v>7</v>
      </c>
      <c r="D38" s="49">
        <f>(SUM(D35:D37))</f>
        <v>36000000</v>
      </c>
      <c r="E38" s="50"/>
      <c r="F38" s="10" t="s">
        <v>7</v>
      </c>
      <c r="G38" s="49">
        <f>(SUM(G35:G37))</f>
        <v>36000000</v>
      </c>
      <c r="H38" s="10"/>
      <c r="I38" s="7"/>
      <c r="J38" s="7"/>
      <c r="K38" s="7"/>
      <c r="L38" s="7"/>
      <c r="M38" s="7"/>
      <c r="N38" s="7"/>
      <c r="O38" s="12"/>
      <c r="P38" s="3"/>
      <c r="Q38" s="3"/>
      <c r="R38" s="3"/>
      <c r="S38" s="3"/>
      <c r="T38" s="3"/>
      <c r="U38" s="3"/>
      <c r="V38" s="3"/>
    </row>
    <row r="39" spans="1:22">
      <c r="A39" s="2"/>
      <c r="B39" s="6"/>
      <c r="C39" s="10"/>
      <c r="D39" s="10"/>
      <c r="E39" s="10"/>
      <c r="F39" s="10"/>
      <c r="G39" s="10"/>
      <c r="H39" s="82"/>
      <c r="I39" s="7"/>
      <c r="J39" s="7"/>
      <c r="K39" s="7"/>
      <c r="L39" s="7"/>
      <c r="M39" s="7"/>
      <c r="N39" s="7"/>
      <c r="O39" s="12"/>
      <c r="P39" s="3"/>
      <c r="Q39" s="3"/>
      <c r="R39" s="3"/>
      <c r="S39" s="3"/>
      <c r="T39" s="3"/>
      <c r="U39" s="3"/>
      <c r="V39" s="3"/>
    </row>
    <row r="40" spans="1:22">
      <c r="A40" s="2"/>
      <c r="B40" s="6"/>
      <c r="C40" s="7"/>
      <c r="D40" s="7"/>
      <c r="E40" s="7"/>
      <c r="F40" s="7"/>
      <c r="G40" s="7"/>
      <c r="H40" s="82"/>
      <c r="I40" s="7"/>
      <c r="J40" s="7"/>
      <c r="K40" s="7"/>
      <c r="L40" s="7"/>
      <c r="M40" s="7"/>
      <c r="N40" s="7"/>
      <c r="O40" s="12"/>
      <c r="P40" s="3"/>
      <c r="Q40" s="3"/>
      <c r="R40" s="3"/>
      <c r="S40" s="3"/>
      <c r="T40" s="3"/>
      <c r="U40" s="3"/>
      <c r="V40" s="3"/>
    </row>
    <row r="41" spans="1:22">
      <c r="A41" s="2"/>
      <c r="B41" s="6"/>
      <c r="C41" s="10" t="s">
        <v>74</v>
      </c>
      <c r="D41" s="49">
        <f>D38/Total_Units</f>
        <v>360000</v>
      </c>
      <c r="E41" s="11"/>
      <c r="F41" s="10" t="s">
        <v>74</v>
      </c>
      <c r="G41" s="49">
        <f>G38/Total_Units</f>
        <v>360000</v>
      </c>
      <c r="H41" s="7"/>
      <c r="I41" s="7"/>
      <c r="J41" s="7"/>
      <c r="K41" s="7"/>
      <c r="L41" s="7"/>
      <c r="M41" s="7"/>
      <c r="N41" s="7"/>
      <c r="O41" s="12"/>
      <c r="P41" s="3"/>
      <c r="Q41" s="3"/>
      <c r="R41" s="3"/>
      <c r="S41" s="3"/>
      <c r="T41" s="3"/>
      <c r="U41" s="3"/>
      <c r="V41" s="3"/>
    </row>
    <row r="42" spans="1:22">
      <c r="A42" s="2"/>
      <c r="B42" s="6"/>
      <c r="C42" s="7"/>
      <c r="D42" s="7"/>
      <c r="E42" s="7"/>
      <c r="F42" s="7"/>
      <c r="G42" s="7"/>
      <c r="H42" s="7"/>
      <c r="I42" s="7"/>
      <c r="J42" s="7"/>
      <c r="K42" s="7"/>
      <c r="L42" s="7"/>
      <c r="M42" s="7"/>
      <c r="N42" s="7"/>
      <c r="O42" s="12"/>
      <c r="P42" s="3"/>
      <c r="Q42" s="3"/>
      <c r="R42" s="3"/>
      <c r="S42" s="3"/>
      <c r="T42" s="3"/>
      <c r="U42" s="3"/>
      <c r="V42" s="3"/>
    </row>
    <row r="43" spans="1:22">
      <c r="A43" s="2"/>
      <c r="B43" s="6"/>
      <c r="C43" s="10" t="s">
        <v>18</v>
      </c>
      <c r="D43" s="49">
        <f>(G10*Per_Unit_Market_Price+G12*Per_Unit_Affordable_Price)</f>
        <v>45000000</v>
      </c>
      <c r="E43" s="50"/>
      <c r="F43" s="10" t="s">
        <v>18</v>
      </c>
      <c r="G43" s="49">
        <f>Sale_Price+D22*Total_Units</f>
        <v>45000000</v>
      </c>
      <c r="H43" s="7"/>
      <c r="I43" s="7"/>
      <c r="J43" s="7"/>
      <c r="K43" s="7"/>
      <c r="L43" s="7"/>
      <c r="M43" s="7"/>
      <c r="N43" s="7"/>
      <c r="O43" s="12"/>
      <c r="P43" s="3"/>
      <c r="Q43" s="3"/>
      <c r="R43" s="3"/>
      <c r="S43" s="3"/>
      <c r="T43" s="3"/>
      <c r="U43" s="3"/>
      <c r="V43" s="3"/>
    </row>
    <row r="44" spans="1:22" ht="15.6">
      <c r="A44" s="2"/>
      <c r="B44" s="6"/>
      <c r="C44" s="84"/>
      <c r="D44" s="27"/>
      <c r="E44" s="82"/>
      <c r="F44" s="7"/>
      <c r="G44" s="7"/>
      <c r="H44" s="7"/>
      <c r="I44" s="7"/>
      <c r="J44" s="7"/>
      <c r="K44" s="7"/>
      <c r="L44" s="7"/>
      <c r="M44" s="7"/>
      <c r="N44" s="7"/>
      <c r="O44" s="12"/>
      <c r="P44" s="3"/>
      <c r="Q44" s="3"/>
      <c r="R44" s="3"/>
      <c r="S44" s="3"/>
      <c r="T44" s="3"/>
      <c r="U44" s="3"/>
      <c r="V44" s="3"/>
    </row>
    <row r="45" spans="1:22" ht="15.6">
      <c r="A45" s="2"/>
      <c r="B45" s="6"/>
      <c r="C45" s="41" t="s">
        <v>13</v>
      </c>
      <c r="D45" s="39"/>
      <c r="E45" s="39"/>
      <c r="F45" s="39"/>
      <c r="G45" s="39"/>
      <c r="H45" s="39"/>
      <c r="I45" s="7"/>
      <c r="J45" s="7"/>
      <c r="K45" s="7"/>
      <c r="L45" s="7"/>
      <c r="M45" s="7"/>
      <c r="N45" s="7"/>
      <c r="O45" s="12"/>
      <c r="P45" s="3"/>
      <c r="Q45" s="3"/>
      <c r="R45" s="3"/>
      <c r="S45" s="3"/>
      <c r="T45" s="3"/>
      <c r="U45" s="3"/>
      <c r="V45" s="3"/>
    </row>
    <row r="46" spans="1:22">
      <c r="A46" s="2"/>
      <c r="B46" s="6"/>
      <c r="C46" s="7"/>
      <c r="D46" s="7"/>
      <c r="E46" s="7"/>
      <c r="F46" s="7"/>
      <c r="G46" s="7"/>
      <c r="H46" s="7"/>
      <c r="I46" s="7"/>
      <c r="J46" s="7"/>
      <c r="K46" s="7"/>
      <c r="L46" s="7"/>
      <c r="M46" s="7"/>
      <c r="N46" s="7"/>
      <c r="O46" s="12"/>
      <c r="P46" s="3"/>
      <c r="Q46" s="3"/>
      <c r="R46" s="3"/>
      <c r="S46" s="3"/>
      <c r="T46" s="3"/>
      <c r="U46" s="3"/>
      <c r="V46" s="3"/>
    </row>
    <row r="47" spans="1:22">
      <c r="A47" s="2"/>
      <c r="B47" s="6"/>
      <c r="C47" s="7"/>
      <c r="D47" s="7" t="s">
        <v>4</v>
      </c>
      <c r="E47" s="7"/>
      <c r="F47" s="7"/>
      <c r="G47" s="7" t="s">
        <v>5</v>
      </c>
      <c r="H47" s="7"/>
      <c r="I47" s="7"/>
      <c r="J47" s="7"/>
      <c r="K47" s="7"/>
      <c r="L47" s="7"/>
      <c r="M47" s="7"/>
      <c r="N47" s="7"/>
      <c r="O47" s="12"/>
      <c r="P47" s="3"/>
      <c r="Q47" s="3"/>
      <c r="R47" s="3"/>
      <c r="S47" s="3"/>
      <c r="T47" s="3"/>
      <c r="U47" s="3"/>
      <c r="V47" s="3"/>
    </row>
    <row r="48" spans="1:22">
      <c r="A48" s="2"/>
      <c r="B48" s="6"/>
      <c r="C48" s="7"/>
      <c r="D48" s="7"/>
      <c r="E48" s="7"/>
      <c r="F48" s="7"/>
      <c r="G48" s="7"/>
      <c r="H48" s="21"/>
      <c r="I48" s="7"/>
      <c r="J48" s="7"/>
      <c r="K48" s="7"/>
      <c r="L48" s="7"/>
      <c r="M48" s="7"/>
      <c r="N48" s="62"/>
      <c r="O48" s="12"/>
      <c r="P48" s="3"/>
      <c r="Q48" s="3"/>
      <c r="R48" s="3"/>
      <c r="S48" s="3"/>
      <c r="T48" s="3"/>
      <c r="U48" s="3"/>
      <c r="V48" s="3"/>
    </row>
    <row r="49" spans="1:22">
      <c r="A49" s="2"/>
      <c r="B49" s="6"/>
      <c r="C49" s="176"/>
      <c r="D49" s="176"/>
      <c r="E49" s="7"/>
      <c r="F49" s="177"/>
      <c r="G49" s="176"/>
      <c r="H49" s="21"/>
      <c r="I49" s="7"/>
      <c r="J49" s="7"/>
      <c r="K49" s="7"/>
      <c r="L49" s="7"/>
      <c r="M49" s="62"/>
      <c r="N49" s="62"/>
      <c r="O49" s="12"/>
      <c r="P49" s="3"/>
      <c r="Q49" s="3"/>
      <c r="R49" s="3"/>
      <c r="S49" s="3"/>
      <c r="T49" s="3"/>
      <c r="U49" s="3"/>
      <c r="V49" s="3"/>
    </row>
    <row r="50" spans="1:22">
      <c r="A50" s="2"/>
      <c r="B50" s="6"/>
      <c r="C50" s="176" t="s">
        <v>14</v>
      </c>
      <c r="D50" s="176"/>
      <c r="E50" s="7"/>
      <c r="F50" s="177" t="s">
        <v>14</v>
      </c>
      <c r="G50" s="176"/>
      <c r="H50" s="7"/>
      <c r="I50" s="7"/>
      <c r="J50" s="7"/>
      <c r="K50" s="7"/>
      <c r="L50" s="7"/>
      <c r="M50" s="7"/>
      <c r="N50" s="62"/>
      <c r="O50" s="12"/>
      <c r="P50" s="3"/>
      <c r="Q50" s="3"/>
      <c r="R50" s="3"/>
      <c r="S50" s="3"/>
      <c r="T50" s="3"/>
      <c r="U50" s="3"/>
      <c r="V50" s="3"/>
    </row>
    <row r="51" spans="1:22">
      <c r="A51" s="2"/>
      <c r="B51" s="6"/>
      <c r="C51" s="14" t="s">
        <v>56</v>
      </c>
      <c r="D51" s="46">
        <f>D38*(1-$G64)</f>
        <v>12600000</v>
      </c>
      <c r="E51" s="7"/>
      <c r="F51" s="18" t="s">
        <v>56</v>
      </c>
      <c r="G51" s="46">
        <f>D38*(1-$G64)-(Fees-G57)-IF(D27="Yes",Forgivable_Loan_Amt,0)-IF(Land_Provision="Yes",G22,0)</f>
        <v>12600000</v>
      </c>
      <c r="H51" s="17"/>
      <c r="I51" s="7"/>
      <c r="J51" s="230"/>
      <c r="K51" s="7"/>
      <c r="L51" s="7"/>
      <c r="M51" s="7"/>
      <c r="N51" s="62"/>
      <c r="O51" s="12"/>
      <c r="P51" s="3"/>
      <c r="Q51" s="3"/>
      <c r="R51" s="3"/>
      <c r="S51" s="3"/>
      <c r="T51" s="3"/>
      <c r="U51" s="3"/>
      <c r="V51" s="3"/>
    </row>
    <row r="52" spans="1:22">
      <c r="A52" s="2"/>
      <c r="B52" s="6"/>
      <c r="C52" s="14" t="s">
        <v>65</v>
      </c>
      <c r="D52" s="46">
        <f>D38*$G64*(1+$D67)</f>
        <v>23634000</v>
      </c>
      <c r="E52" s="7"/>
      <c r="F52" s="18" t="s">
        <v>65</v>
      </c>
      <c r="G52" s="46">
        <f>Primary_Loan_Amount</f>
        <v>23634000</v>
      </c>
      <c r="H52" s="22"/>
      <c r="I52" s="230"/>
      <c r="J52" s="7"/>
      <c r="K52" s="7"/>
      <c r="L52" s="7"/>
      <c r="M52" s="7"/>
      <c r="N52" s="62"/>
      <c r="O52" s="12"/>
      <c r="P52" s="3"/>
      <c r="Q52" s="3"/>
      <c r="R52" s="3"/>
      <c r="S52" s="3"/>
      <c r="T52" s="3"/>
      <c r="U52" s="3"/>
      <c r="V52" s="3"/>
    </row>
    <row r="53" spans="1:22">
      <c r="A53" s="2"/>
      <c r="B53" s="6"/>
      <c r="C53" s="14"/>
      <c r="D53" s="46"/>
      <c r="E53" s="7"/>
      <c r="F53" s="18"/>
      <c r="G53" s="45"/>
      <c r="H53" s="22"/>
      <c r="I53" s="7"/>
      <c r="J53" s="7"/>
      <c r="K53" s="7"/>
      <c r="L53" s="7"/>
      <c r="M53" s="7"/>
      <c r="N53" s="62"/>
      <c r="O53" s="12"/>
      <c r="P53" s="3"/>
      <c r="Q53" s="3"/>
      <c r="R53" s="3"/>
      <c r="S53" s="3"/>
      <c r="T53" s="3"/>
      <c r="U53" s="3"/>
      <c r="V53" s="3"/>
    </row>
    <row r="54" spans="1:22">
      <c r="A54" s="2"/>
      <c r="B54" s="6"/>
      <c r="C54" s="14" t="s">
        <v>57</v>
      </c>
      <c r="D54" s="47">
        <f>-PMT($D65/12,$D66,D52)</f>
        <v>141697.77111460149</v>
      </c>
      <c r="E54" s="91"/>
      <c r="F54" s="18" t="s">
        <v>57</v>
      </c>
      <c r="G54" s="47">
        <f>-PMT($D65/12,$D66,G52)</f>
        <v>141697.77111460149</v>
      </c>
      <c r="H54" s="23"/>
      <c r="I54" s="17"/>
      <c r="J54" s="7"/>
      <c r="K54" s="7"/>
      <c r="L54" s="7"/>
      <c r="M54" s="7"/>
      <c r="N54" s="62"/>
      <c r="O54" s="12"/>
      <c r="P54" s="3"/>
      <c r="Q54" s="3"/>
      <c r="R54" s="3"/>
      <c r="S54" s="3"/>
      <c r="T54" s="3"/>
      <c r="U54" s="3"/>
      <c r="V54" s="3"/>
    </row>
    <row r="55" spans="1:22">
      <c r="A55" s="2"/>
      <c r="B55" s="6"/>
      <c r="C55" s="195" t="s">
        <v>38</v>
      </c>
      <c r="D55" s="43">
        <v>0.03</v>
      </c>
      <c r="E55" s="7"/>
      <c r="F55" s="18" t="s">
        <v>38</v>
      </c>
      <c r="G55" s="43">
        <v>0.03</v>
      </c>
      <c r="H55" s="7"/>
      <c r="I55" s="7"/>
      <c r="J55" s="7"/>
      <c r="K55" s="7"/>
      <c r="L55" s="7"/>
      <c r="M55" s="7"/>
      <c r="N55" s="62"/>
      <c r="O55" s="12"/>
      <c r="P55" s="3"/>
      <c r="Q55" s="3"/>
      <c r="R55" s="3"/>
      <c r="S55" s="3"/>
      <c r="T55" s="3"/>
      <c r="U55" s="3"/>
      <c r="V55" s="3"/>
    </row>
    <row r="56" spans="1:22">
      <c r="A56" s="2"/>
      <c r="B56" s="6"/>
      <c r="C56" s="7"/>
      <c r="D56" s="7"/>
      <c r="E56" s="7"/>
      <c r="F56" s="29"/>
      <c r="G56" s="7"/>
      <c r="H56" s="7"/>
      <c r="I56" s="7"/>
      <c r="J56" s="7"/>
      <c r="K56" s="7"/>
      <c r="L56" s="7"/>
      <c r="M56" s="7"/>
      <c r="N56" s="62"/>
      <c r="O56" s="12"/>
      <c r="P56" s="3"/>
      <c r="Q56" s="3"/>
      <c r="R56" s="3"/>
      <c r="S56" s="3"/>
      <c r="T56" s="3"/>
      <c r="U56" s="3"/>
      <c r="V56" s="3"/>
    </row>
    <row r="57" spans="1:22">
      <c r="A57" s="2"/>
      <c r="B57" s="6"/>
      <c r="C57" s="7" t="s">
        <v>185</v>
      </c>
      <c r="D57" s="47">
        <f>_xlfn.XLOOKUP(D7,ModelInputs!B47:B51,ModelInputs!C47:C51)+IF(OR(Building_Type="Single Family",Building_Type="Townhouse"),Total_Units*_xlfn.XLOOKUP(D7,ModelInputs!B47:B51,ModelInputs!D47:D51),Total_Units*_xlfn.XLOOKUP(D7,ModelInputs!B47:B51,ModelInputs!E47:E51))</f>
        <v>37500</v>
      </c>
      <c r="E57" s="7"/>
      <c r="F57" s="10" t="s">
        <v>185</v>
      </c>
      <c r="G57" s="47">
        <f>Fees*IF(G27="Yes",(1-G29),1)</f>
        <v>37500</v>
      </c>
      <c r="H57" s="7"/>
      <c r="I57" s="7"/>
      <c r="J57" s="7"/>
      <c r="K57" s="7"/>
      <c r="L57" s="7"/>
      <c r="M57" s="7"/>
      <c r="N57" s="62"/>
      <c r="O57" s="12"/>
      <c r="P57" s="3"/>
      <c r="Q57" s="3"/>
      <c r="R57" s="3"/>
      <c r="S57" s="3"/>
      <c r="T57" s="3"/>
      <c r="U57" s="3"/>
      <c r="V57" s="3"/>
    </row>
    <row r="58" spans="1:22">
      <c r="A58" s="2"/>
      <c r="B58" s="6"/>
      <c r="C58" s="59"/>
      <c r="D58" s="59"/>
      <c r="E58" s="59"/>
      <c r="F58" s="9"/>
      <c r="G58" s="7"/>
      <c r="H58" s="7"/>
      <c r="I58" s="7"/>
      <c r="J58" s="7"/>
      <c r="K58" s="7"/>
      <c r="L58" s="7"/>
      <c r="M58" s="7"/>
      <c r="N58" s="62"/>
      <c r="O58" s="12"/>
      <c r="P58" s="3"/>
      <c r="Q58" s="3"/>
      <c r="R58" s="3"/>
      <c r="S58" s="3"/>
      <c r="T58" s="3"/>
      <c r="U58" s="3"/>
      <c r="V58" s="3"/>
    </row>
    <row r="59" spans="1:22">
      <c r="A59" s="2"/>
      <c r="B59" s="6"/>
      <c r="C59" s="59"/>
      <c r="D59" s="59"/>
      <c r="E59" s="59"/>
      <c r="F59" s="9"/>
      <c r="G59" s="7"/>
      <c r="H59" s="7"/>
      <c r="I59" s="7"/>
      <c r="J59" s="7"/>
      <c r="K59" s="7"/>
      <c r="L59" s="7"/>
      <c r="M59" s="7"/>
      <c r="N59" s="62"/>
      <c r="O59" s="12"/>
      <c r="P59" s="3"/>
      <c r="Q59" s="3"/>
      <c r="R59" s="3"/>
      <c r="S59" s="3"/>
      <c r="T59" s="3"/>
      <c r="U59" s="3"/>
      <c r="V59" s="3"/>
    </row>
    <row r="60" spans="1:22">
      <c r="A60" s="2"/>
      <c r="B60" s="6"/>
      <c r="C60" s="50"/>
      <c r="D60" s="50"/>
      <c r="E60" s="50"/>
      <c r="F60" s="9"/>
      <c r="G60" s="7"/>
      <c r="H60" s="7"/>
      <c r="I60" s="7"/>
      <c r="J60" s="17"/>
      <c r="K60" s="17"/>
      <c r="L60" s="17"/>
      <c r="M60" s="7"/>
      <c r="N60" s="7"/>
      <c r="O60" s="12"/>
      <c r="P60" s="3"/>
      <c r="Q60" s="3"/>
      <c r="R60" s="3"/>
      <c r="S60" s="3"/>
      <c r="T60" s="3"/>
      <c r="U60" s="3"/>
      <c r="V60" s="3"/>
    </row>
    <row r="61" spans="1:22" ht="15.6">
      <c r="A61" s="2"/>
      <c r="B61" s="6"/>
      <c r="C61" s="41" t="s">
        <v>81</v>
      </c>
      <c r="D61" s="39"/>
      <c r="E61" s="39"/>
      <c r="F61" s="39"/>
      <c r="G61" s="97"/>
      <c r="H61" s="7"/>
      <c r="I61" s="7"/>
      <c r="J61" s="17"/>
      <c r="K61" s="17"/>
      <c r="L61" s="17"/>
      <c r="M61" s="7"/>
      <c r="N61" s="7"/>
      <c r="O61" s="12"/>
      <c r="P61" s="3"/>
      <c r="Q61" s="3"/>
      <c r="R61" s="3"/>
      <c r="S61" s="3"/>
      <c r="T61" s="3"/>
      <c r="U61" s="3"/>
      <c r="V61" s="3"/>
    </row>
    <row r="62" spans="1:22">
      <c r="A62" s="2"/>
      <c r="B62" s="6"/>
      <c r="C62" s="7"/>
      <c r="D62" s="7"/>
      <c r="E62" s="13"/>
      <c r="F62" s="7"/>
      <c r="G62" s="7"/>
      <c r="H62" s="7"/>
      <c r="I62" s="7"/>
      <c r="J62" s="17"/>
      <c r="K62" s="17"/>
      <c r="L62" s="17"/>
      <c r="M62" s="7"/>
      <c r="N62" s="7"/>
      <c r="O62" s="12"/>
      <c r="P62" s="3"/>
      <c r="Q62" s="3"/>
      <c r="R62" s="3"/>
      <c r="S62" s="3"/>
      <c r="T62" s="3"/>
      <c r="U62" s="3"/>
      <c r="V62" s="3"/>
    </row>
    <row r="63" spans="1:22" ht="15" thickBot="1">
      <c r="A63" s="2"/>
      <c r="B63" s="6"/>
      <c r="C63" s="14" t="s">
        <v>19</v>
      </c>
      <c r="D63" s="44">
        <f>_xlfn.XLOOKUP(Building_Type,ModelInputs!B111:B116,ModelInputs!C111:C116)</f>
        <v>18</v>
      </c>
      <c r="E63" s="7"/>
      <c r="F63" s="14" t="s">
        <v>167</v>
      </c>
      <c r="G63" s="44">
        <v>24</v>
      </c>
      <c r="H63" s="7"/>
      <c r="I63" s="7"/>
      <c r="J63" s="17"/>
      <c r="K63" s="17"/>
      <c r="L63" s="17"/>
      <c r="M63" s="7"/>
      <c r="N63" s="7"/>
      <c r="O63" s="12"/>
      <c r="P63" s="3"/>
      <c r="Q63" s="3"/>
      <c r="R63" s="3"/>
      <c r="S63" s="3"/>
      <c r="T63" s="3"/>
      <c r="U63" s="3"/>
      <c r="V63" s="3"/>
    </row>
    <row r="64" spans="1:22" ht="15.6" thickTop="1" thickBot="1">
      <c r="A64" s="2"/>
      <c r="B64" s="6"/>
      <c r="C64" s="14" t="s">
        <v>38</v>
      </c>
      <c r="D64" s="43">
        <v>0.03</v>
      </c>
      <c r="E64" s="7"/>
      <c r="F64" s="14" t="s">
        <v>110</v>
      </c>
      <c r="G64" s="89">
        <v>0.65</v>
      </c>
      <c r="H64" s="7"/>
      <c r="I64" s="7"/>
      <c r="J64" s="17"/>
      <c r="K64" s="17"/>
      <c r="L64" s="17"/>
      <c r="M64" s="7"/>
      <c r="N64" s="7"/>
      <c r="O64" s="12"/>
      <c r="P64" s="3"/>
      <c r="Q64" s="3"/>
      <c r="R64" s="3"/>
      <c r="S64" s="3"/>
      <c r="T64" s="3"/>
      <c r="U64" s="3"/>
      <c r="V64" s="3"/>
    </row>
    <row r="65" spans="1:24" ht="15" thickTop="1">
      <c r="A65" s="2"/>
      <c r="B65" s="6"/>
      <c r="C65" s="14" t="s">
        <v>11</v>
      </c>
      <c r="D65" s="43">
        <f>ModelInputs!C93</f>
        <v>0.06</v>
      </c>
      <c r="E65" s="7"/>
      <c r="F65" s="7"/>
      <c r="G65" s="7"/>
      <c r="H65" s="7"/>
      <c r="I65" s="7"/>
      <c r="J65" s="17"/>
      <c r="K65" s="17"/>
      <c r="L65" s="17"/>
      <c r="M65" s="7"/>
      <c r="N65" s="7"/>
      <c r="O65" s="12"/>
      <c r="P65" s="3"/>
      <c r="Q65" s="3"/>
      <c r="R65" s="3"/>
      <c r="S65" s="3"/>
      <c r="T65" s="3"/>
      <c r="U65" s="3"/>
      <c r="V65" s="3"/>
    </row>
    <row r="66" spans="1:24">
      <c r="A66" s="2"/>
      <c r="B66" s="6"/>
      <c r="C66" s="14" t="s">
        <v>73</v>
      </c>
      <c r="D66" s="86">
        <f>ModelInputs!C94</f>
        <v>360</v>
      </c>
      <c r="E66" s="13"/>
      <c r="F66" s="7"/>
      <c r="G66" s="7"/>
      <c r="H66" s="7"/>
      <c r="I66" s="7"/>
      <c r="J66" s="17"/>
      <c r="K66" s="17"/>
      <c r="L66" s="17"/>
      <c r="M66" s="7"/>
      <c r="N66" s="7"/>
      <c r="O66" s="12"/>
      <c r="P66" s="3"/>
      <c r="Q66" s="3"/>
      <c r="R66" s="3"/>
      <c r="S66" s="3"/>
      <c r="T66" s="3"/>
      <c r="U66" s="3"/>
      <c r="V66" s="3"/>
    </row>
    <row r="67" spans="1:24">
      <c r="A67" s="2"/>
      <c r="B67" s="6"/>
      <c r="C67" s="14" t="s">
        <v>12</v>
      </c>
      <c r="D67" s="43">
        <f>ModelInputs!C95</f>
        <v>0.01</v>
      </c>
      <c r="E67" s="13"/>
      <c r="F67" s="7"/>
      <c r="G67" s="7"/>
      <c r="H67" s="7"/>
      <c r="I67" s="7"/>
      <c r="J67" s="17"/>
      <c r="K67" s="17"/>
      <c r="L67" s="17"/>
      <c r="M67" s="7"/>
      <c r="N67" s="7"/>
      <c r="O67" s="12"/>
      <c r="P67" s="3"/>
      <c r="Q67" s="3"/>
      <c r="R67" s="3"/>
      <c r="S67" s="3"/>
      <c r="T67" s="3"/>
      <c r="U67" s="3"/>
      <c r="V67" s="3"/>
    </row>
    <row r="68" spans="1:24">
      <c r="A68" s="2"/>
      <c r="B68" s="6"/>
      <c r="C68" s="28" t="s">
        <v>174</v>
      </c>
      <c r="D68" s="44">
        <v>6</v>
      </c>
      <c r="E68" s="82"/>
      <c r="F68" s="16"/>
      <c r="G68" s="16"/>
      <c r="H68" s="16"/>
      <c r="I68" s="7"/>
      <c r="J68" s="17"/>
      <c r="K68" s="17"/>
      <c r="L68" s="17"/>
      <c r="M68" s="7"/>
      <c r="N68" s="7"/>
      <c r="O68" s="12"/>
      <c r="P68" s="3"/>
      <c r="Q68" s="3"/>
      <c r="R68" s="3"/>
      <c r="S68" s="3"/>
      <c r="T68" s="3"/>
      <c r="U68" s="3"/>
      <c r="V68" s="3"/>
    </row>
    <row r="69" spans="1:24">
      <c r="A69" s="2"/>
      <c r="B69" s="6"/>
      <c r="C69" s="7"/>
      <c r="D69" s="7"/>
      <c r="E69" s="13"/>
      <c r="F69" s="7"/>
      <c r="G69" s="7"/>
      <c r="H69" s="7"/>
      <c r="I69" s="15"/>
      <c r="J69" s="17"/>
      <c r="K69" s="19"/>
      <c r="L69" s="7"/>
      <c r="M69" s="7"/>
      <c r="N69" s="7"/>
      <c r="O69" s="12"/>
      <c r="P69" s="3"/>
      <c r="Q69" s="3"/>
      <c r="R69" s="3"/>
      <c r="S69" s="3"/>
      <c r="T69" s="3"/>
      <c r="U69" s="3"/>
      <c r="V69" s="3"/>
    </row>
    <row r="70" spans="1:24">
      <c r="A70" s="2"/>
      <c r="B70" s="6"/>
      <c r="C70" s="7"/>
      <c r="D70" s="7"/>
      <c r="E70" s="7"/>
      <c r="F70" s="7"/>
      <c r="G70" s="7"/>
      <c r="H70" s="7"/>
      <c r="I70" s="7"/>
      <c r="J70" s="7"/>
      <c r="K70" s="7"/>
      <c r="L70" s="7"/>
      <c r="M70" s="7"/>
      <c r="N70" s="7"/>
      <c r="O70" s="12"/>
      <c r="P70" s="3"/>
      <c r="Q70" s="3"/>
      <c r="R70" s="3"/>
      <c r="S70" s="3"/>
      <c r="T70" s="3"/>
      <c r="U70" s="3"/>
      <c r="V70" s="3"/>
    </row>
    <row r="71" spans="1:24" ht="15.6">
      <c r="B71" s="6"/>
      <c r="C71" s="41" t="s">
        <v>126</v>
      </c>
      <c r="D71" s="39"/>
      <c r="E71" s="39"/>
      <c r="F71" s="39"/>
      <c r="G71" s="39"/>
      <c r="H71" s="39"/>
      <c r="I71" s="39"/>
      <c r="J71" s="39"/>
      <c r="K71" s="97" t="s">
        <v>87</v>
      </c>
      <c r="L71" s="7"/>
      <c r="M71" s="7"/>
      <c r="N71" s="7"/>
      <c r="O71" s="12"/>
      <c r="P71" s="3"/>
      <c r="Q71" s="3"/>
      <c r="R71" s="3"/>
      <c r="S71" s="3"/>
      <c r="T71" s="3"/>
      <c r="U71" s="3"/>
      <c r="V71" s="3"/>
    </row>
    <row r="72" spans="1:24">
      <c r="B72" s="6"/>
      <c r="C72" s="7"/>
      <c r="D72" s="7"/>
      <c r="E72" s="7"/>
      <c r="F72" s="7"/>
      <c r="G72" s="7"/>
      <c r="H72" s="7"/>
      <c r="I72" s="7"/>
      <c r="J72" s="7"/>
      <c r="K72" s="7"/>
      <c r="L72" s="7"/>
      <c r="M72" s="7"/>
      <c r="N72" s="7"/>
      <c r="O72" s="12"/>
      <c r="P72" s="3"/>
      <c r="Q72" s="3"/>
      <c r="R72" s="3"/>
      <c r="S72" s="3"/>
      <c r="T72" s="3"/>
      <c r="U72" s="3"/>
      <c r="V72" s="3"/>
    </row>
    <row r="73" spans="1:24">
      <c r="B73" s="7"/>
      <c r="C73" s="7" t="s">
        <v>20</v>
      </c>
      <c r="D73" s="70">
        <v>1E-3</v>
      </c>
      <c r="E73" s="7"/>
      <c r="F73" s="7"/>
      <c r="G73" s="7"/>
      <c r="H73" s="7"/>
      <c r="I73" s="7"/>
      <c r="J73" s="7"/>
      <c r="K73" s="7"/>
      <c r="L73" s="7"/>
      <c r="M73" s="7"/>
      <c r="N73" s="7"/>
      <c r="O73" s="12"/>
      <c r="P73" s="3"/>
      <c r="Q73" s="3"/>
      <c r="R73" s="3"/>
      <c r="S73" s="3"/>
      <c r="T73" s="3"/>
      <c r="U73" s="3"/>
      <c r="V73" s="3"/>
    </row>
    <row r="74" spans="1:24">
      <c r="B74" s="7"/>
      <c r="C74" s="25"/>
      <c r="D74" s="101">
        <f>SUM(D76:D256)</f>
        <v>-12599999.999999998</v>
      </c>
      <c r="E74" s="101">
        <f>SUM(E76:E256)</f>
        <v>-203305000.00000003</v>
      </c>
      <c r="F74" s="13"/>
      <c r="G74" s="101">
        <f>SUM(G76:G256)</f>
        <v>43650000</v>
      </c>
      <c r="H74" s="101">
        <f>SUM(H76:H256)</f>
        <v>-416378.05683779484</v>
      </c>
      <c r="I74" s="101">
        <f>-Construction_Costs-H74</f>
        <v>-29583621.943162207</v>
      </c>
      <c r="J74" s="101">
        <f>SUM(J76:J256)</f>
        <v>7832378.0568377953</v>
      </c>
      <c r="K74" s="13"/>
      <c r="L74" s="7"/>
      <c r="M74" s="7"/>
      <c r="N74" s="7"/>
      <c r="O74" s="102" t="s">
        <v>109</v>
      </c>
      <c r="P74" s="3"/>
      <c r="Q74" s="3"/>
      <c r="R74" s="3"/>
      <c r="S74" s="3"/>
      <c r="T74" s="3"/>
      <c r="U74" s="3"/>
      <c r="V74" s="3"/>
    </row>
    <row r="75" spans="1:24">
      <c r="B75" s="7"/>
      <c r="C75" s="7" t="s">
        <v>32</v>
      </c>
      <c r="D75" s="13" t="s">
        <v>111</v>
      </c>
      <c r="E75" s="13" t="s">
        <v>112</v>
      </c>
      <c r="F75" s="9" t="s">
        <v>107</v>
      </c>
      <c r="G75" s="7" t="s">
        <v>21</v>
      </c>
      <c r="H75" s="7" t="s">
        <v>76</v>
      </c>
      <c r="I75" s="7" t="s">
        <v>108</v>
      </c>
      <c r="J75" s="7" t="s">
        <v>22</v>
      </c>
      <c r="K75" s="13" t="s">
        <v>55</v>
      </c>
      <c r="L75" s="13" t="s">
        <v>36</v>
      </c>
      <c r="M75" s="7"/>
      <c r="N75" s="7"/>
      <c r="O75" s="12"/>
      <c r="P75" s="3"/>
      <c r="Q75" s="3"/>
      <c r="R75" s="3"/>
      <c r="S75" s="3"/>
      <c r="T75" s="3"/>
      <c r="U75" s="3"/>
      <c r="V75" s="3"/>
    </row>
    <row r="76" spans="1:24">
      <c r="B76" s="7"/>
      <c r="C76" s="7">
        <v>0</v>
      </c>
      <c r="D76" s="24">
        <f>-Land_Costs</f>
        <v>-4000000</v>
      </c>
      <c r="E76" s="103">
        <f>-Equity_Amount-D76</f>
        <v>-8600000</v>
      </c>
      <c r="F76" s="53">
        <v>0</v>
      </c>
      <c r="G76" s="24">
        <f t="shared" ref="G76:G107" si="0">IF(C76=SUM(Month_of_Sale,PreDev_Timeline,Construction_Timeline),Sale_Price*(1-D$64),0)</f>
        <v>0</v>
      </c>
      <c r="H76" s="15">
        <v>0</v>
      </c>
      <c r="I76" s="15">
        <f>-SUM(Primary_Loan_Amount)-SUM(H76:H$76)</f>
        <v>-23634000</v>
      </c>
      <c r="J76" s="24">
        <f t="shared" ref="J76:J107" si="1">SUM(D76,F76,G76)+IF(G76&gt;0,I76)</f>
        <v>-4000000</v>
      </c>
      <c r="K76" s="51">
        <v>0</v>
      </c>
      <c r="L76" s="13">
        <v>0</v>
      </c>
      <c r="M76" s="72">
        <v>46023</v>
      </c>
      <c r="N76" s="7"/>
      <c r="O76" s="12"/>
      <c r="P76" s="98"/>
      <c r="Q76" s="98"/>
      <c r="R76" s="98"/>
      <c r="S76" s="98"/>
      <c r="T76" s="3"/>
      <c r="U76" s="98"/>
      <c r="V76" s="98"/>
      <c r="W76" s="98"/>
      <c r="X76" s="98"/>
    </row>
    <row r="77" spans="1:24">
      <c r="B77" s="7"/>
      <c r="C77" s="7">
        <v>1</v>
      </c>
      <c r="D77" s="24">
        <f t="shared" ref="D77:D108" si="2">IF(AND(C76&gt;0,E76&gt;=D76),E76,IF(L77=1,-Pre_Development_Costs/PreDev_Timeline,IF(K77=1,MAX(E76,-D$52/Construction_Timeline),0)))</f>
        <v>-83333.333333333328</v>
      </c>
      <c r="E77" s="103">
        <f>E76-D77</f>
        <v>-8516666.666666666</v>
      </c>
      <c r="F77" s="53">
        <v>0</v>
      </c>
      <c r="G77" s="24">
        <f t="shared" si="0"/>
        <v>0</v>
      </c>
      <c r="H77" s="15">
        <f>IF(G77&gt;0,0,IF(AND(H76=0,SUM(K77:L77)=0),0,IF(D77=0,PPMT(D$65/12,COUNTIF(D$76:D77,0),D$66,Primary_Loan_Amount),0)))</f>
        <v>0</v>
      </c>
      <c r="I77" s="15">
        <f>-SUM(Primary_Loan_Amount)-SUM(H$76:H77)</f>
        <v>-23634000</v>
      </c>
      <c r="J77" s="24">
        <f t="shared" si="1"/>
        <v>-83333.333333333328</v>
      </c>
      <c r="K77" s="51">
        <f>IF(L77=1,0,IF(SUM(K76:K$81)&gt;=Construction_Timeline,0,1))</f>
        <v>0</v>
      </c>
      <c r="L77" s="13">
        <f t="shared" ref="L77:L108" si="3">IF(C77&lt;=PreDev_Timeline,1,0)</f>
        <v>1</v>
      </c>
      <c r="M77" s="54">
        <f>EDATE(M76,1)</f>
        <v>46054</v>
      </c>
      <c r="N77" s="7"/>
      <c r="O77" s="12"/>
      <c r="P77" s="98"/>
      <c r="Q77" s="98"/>
      <c r="R77" s="98"/>
      <c r="S77" s="98"/>
      <c r="T77" s="3"/>
      <c r="U77" s="98"/>
      <c r="V77" s="98"/>
      <c r="W77" s="98"/>
      <c r="X77" s="98"/>
    </row>
    <row r="78" spans="1:24">
      <c r="B78" s="7"/>
      <c r="C78" s="7">
        <v>2</v>
      </c>
      <c r="D78" s="24">
        <f t="shared" si="2"/>
        <v>-83333.333333333328</v>
      </c>
      <c r="E78" s="103">
        <f t="shared" ref="E78:E141" si="4">E77-D78</f>
        <v>-8433333.3333333321</v>
      </c>
      <c r="F78" s="53">
        <v>0</v>
      </c>
      <c r="G78" s="24">
        <f t="shared" si="0"/>
        <v>0</v>
      </c>
      <c r="H78" s="15">
        <f>IF(G78&gt;0,0,IF(AND(H77=0,SUM(K78:L78)=0),0,IF(D78=0,PPMT(D$65/12,COUNTIF(D$76:D78,0),D$66,Primary_Loan_Amount),0)))</f>
        <v>0</v>
      </c>
      <c r="I78" s="15">
        <f>-SUM(Primary_Loan_Amount)-SUM(H$76:H78)</f>
        <v>-23634000</v>
      </c>
      <c r="J78" s="24">
        <f t="shared" si="1"/>
        <v>-83333.333333333328</v>
      </c>
      <c r="K78" s="51">
        <f>IF(L78=1,0,IF(SUM(K77:K$81)&gt;=Construction_Timeline,0,1))</f>
        <v>0</v>
      </c>
      <c r="L78" s="13">
        <f t="shared" si="3"/>
        <v>1</v>
      </c>
      <c r="M78" s="54">
        <f t="shared" ref="M78:M141" si="5">EDATE(M77,1)</f>
        <v>46082</v>
      </c>
      <c r="N78" s="7"/>
      <c r="O78" s="12"/>
      <c r="P78" s="98"/>
      <c r="Q78" s="98"/>
      <c r="R78" s="98"/>
      <c r="S78" s="98"/>
      <c r="T78" s="3"/>
      <c r="U78" s="98"/>
      <c r="V78" s="98"/>
      <c r="W78" s="98"/>
      <c r="X78" s="98"/>
    </row>
    <row r="79" spans="1:24">
      <c r="B79" s="7"/>
      <c r="C79" s="7">
        <v>3</v>
      </c>
      <c r="D79" s="24">
        <f t="shared" si="2"/>
        <v>-83333.333333333328</v>
      </c>
      <c r="E79" s="103">
        <f t="shared" si="4"/>
        <v>-8349999.9999999991</v>
      </c>
      <c r="F79" s="53">
        <v>0</v>
      </c>
      <c r="G79" s="24">
        <f t="shared" si="0"/>
        <v>0</v>
      </c>
      <c r="H79" s="15">
        <f>IF(G79&gt;0,0,IF(AND(H78=0,SUM(K79:L79)=0),0,IF(D79=0,PPMT(D$65/12,COUNTIF(D$76:D79,0),D$66,Primary_Loan_Amount),0)))</f>
        <v>0</v>
      </c>
      <c r="I79" s="15">
        <f>-SUM(Primary_Loan_Amount)-SUM(H$76:H79)</f>
        <v>-23634000</v>
      </c>
      <c r="J79" s="24">
        <f t="shared" si="1"/>
        <v>-83333.333333333328</v>
      </c>
      <c r="K79" s="51">
        <f>IF(L79=1,0,IF(SUM(K78:K$81)&gt;=Construction_Timeline,0,1))</f>
        <v>0</v>
      </c>
      <c r="L79" s="13">
        <f t="shared" si="3"/>
        <v>1</v>
      </c>
      <c r="M79" s="54">
        <f t="shared" si="5"/>
        <v>46113</v>
      </c>
      <c r="N79" s="7"/>
      <c r="O79" s="12"/>
      <c r="P79" s="98"/>
      <c r="Q79" s="98"/>
      <c r="R79" s="98"/>
      <c r="S79" s="98"/>
      <c r="T79" s="3"/>
      <c r="U79" s="98"/>
      <c r="V79" s="98"/>
      <c r="W79" s="98"/>
      <c r="X79" s="98"/>
    </row>
    <row r="80" spans="1:24">
      <c r="B80" s="7"/>
      <c r="C80" s="7">
        <v>4</v>
      </c>
      <c r="D80" s="24">
        <f t="shared" si="2"/>
        <v>-83333.333333333328</v>
      </c>
      <c r="E80" s="103">
        <f t="shared" si="4"/>
        <v>-8266666.666666666</v>
      </c>
      <c r="F80" s="53">
        <v>0</v>
      </c>
      <c r="G80" s="24">
        <f t="shared" si="0"/>
        <v>0</v>
      </c>
      <c r="H80" s="15">
        <f>IF(G80&gt;0,0,IF(AND(H79=0,SUM(K80:L80)=0),0,IF(D80=0,PPMT(D$65/12,COUNTIF(D$76:D80,0),D$66,Primary_Loan_Amount),0)))</f>
        <v>0</v>
      </c>
      <c r="I80" s="15">
        <f>-SUM(Primary_Loan_Amount)-SUM(H$76:H80)</f>
        <v>-23634000</v>
      </c>
      <c r="J80" s="24">
        <f t="shared" si="1"/>
        <v>-83333.333333333328</v>
      </c>
      <c r="K80" s="51">
        <f>IF(L80=1,0,IF(SUM(K79:K$81)&gt;=Construction_Timeline,0,1))</f>
        <v>0</v>
      </c>
      <c r="L80" s="13">
        <f t="shared" si="3"/>
        <v>1</v>
      </c>
      <c r="M80" s="54">
        <f t="shared" si="5"/>
        <v>46143</v>
      </c>
      <c r="N80" s="7"/>
      <c r="O80" s="12"/>
      <c r="P80" s="98"/>
      <c r="Q80" s="98"/>
      <c r="R80" s="98"/>
      <c r="S80" s="98"/>
      <c r="T80" s="3"/>
      <c r="U80" s="98"/>
      <c r="V80" s="98"/>
      <c r="W80" s="98"/>
      <c r="X80" s="98"/>
    </row>
    <row r="81" spans="2:24">
      <c r="B81" s="7"/>
      <c r="C81" s="7">
        <v>5</v>
      </c>
      <c r="D81" s="24">
        <f t="shared" si="2"/>
        <v>-83333.333333333328</v>
      </c>
      <c r="E81" s="103">
        <f t="shared" si="4"/>
        <v>-8183333.333333333</v>
      </c>
      <c r="F81" s="53">
        <v>0</v>
      </c>
      <c r="G81" s="24">
        <f t="shared" si="0"/>
        <v>0</v>
      </c>
      <c r="H81" s="15">
        <f>IF(G81&gt;0,0,IF(AND(H80=0,SUM(K81:L81)=0),0,IF(D81=0,PPMT(D$65/12,COUNTIF(D$76:D81,0),D$66,Primary_Loan_Amount),0)))</f>
        <v>0</v>
      </c>
      <c r="I81" s="15">
        <f>-SUM(Primary_Loan_Amount)-SUM(H$76:H81)</f>
        <v>-23634000</v>
      </c>
      <c r="J81" s="24">
        <f t="shared" si="1"/>
        <v>-83333.333333333328</v>
      </c>
      <c r="K81" s="51">
        <f>IF(L81=1,0,IF(SUM(K80:K$81)&gt;=Construction_Timeline,0,1))</f>
        <v>0</v>
      </c>
      <c r="L81" s="13">
        <f t="shared" si="3"/>
        <v>1</v>
      </c>
      <c r="M81" s="54">
        <f t="shared" si="5"/>
        <v>46174</v>
      </c>
      <c r="N81" s="7"/>
      <c r="O81" s="12"/>
      <c r="P81" s="98"/>
      <c r="Q81" s="98"/>
      <c r="R81" s="98"/>
      <c r="S81" s="98"/>
      <c r="T81" s="3"/>
      <c r="U81" s="98"/>
      <c r="V81" s="98"/>
      <c r="W81" s="98"/>
      <c r="X81" s="98"/>
    </row>
    <row r="82" spans="2:24">
      <c r="B82" s="7"/>
      <c r="C82" s="7">
        <v>6</v>
      </c>
      <c r="D82" s="24">
        <f t="shared" si="2"/>
        <v>-83333.333333333328</v>
      </c>
      <c r="E82" s="103">
        <f t="shared" si="4"/>
        <v>-8100000</v>
      </c>
      <c r="F82" s="53">
        <v>0</v>
      </c>
      <c r="G82" s="24">
        <f t="shared" si="0"/>
        <v>0</v>
      </c>
      <c r="H82" s="15">
        <f>IF(G82&gt;0,0,IF(AND(H81=0,SUM(K82:L82)=0),0,IF(D82=0,PPMT(D$65/12,COUNTIF(D$76:D82,0),D$66,Primary_Loan_Amount),0)))</f>
        <v>0</v>
      </c>
      <c r="I82" s="15">
        <f>-SUM(Primary_Loan_Amount)-SUM(H$76:H82)</f>
        <v>-23634000</v>
      </c>
      <c r="J82" s="24">
        <f t="shared" si="1"/>
        <v>-83333.333333333328</v>
      </c>
      <c r="K82" s="51">
        <f>IF(L82=1,0,IF(SUM(K$81:K81)&gt;=Construction_Timeline,0,1))</f>
        <v>0</v>
      </c>
      <c r="L82" s="13">
        <f t="shared" si="3"/>
        <v>1</v>
      </c>
      <c r="M82" s="54">
        <f t="shared" si="5"/>
        <v>46204</v>
      </c>
      <c r="N82" s="7"/>
      <c r="O82" s="12"/>
      <c r="P82" s="98"/>
      <c r="Q82" s="98"/>
      <c r="R82" s="98"/>
      <c r="S82" s="98"/>
      <c r="T82" s="3"/>
      <c r="U82" s="98"/>
      <c r="V82" s="98"/>
      <c r="W82" s="98"/>
      <c r="X82" s="98"/>
    </row>
    <row r="83" spans="2:24">
      <c r="B83" s="7"/>
      <c r="C83" s="7">
        <v>7</v>
      </c>
      <c r="D83" s="24">
        <f t="shared" si="2"/>
        <v>-83333.333333333328</v>
      </c>
      <c r="E83" s="103">
        <f t="shared" si="4"/>
        <v>-8016666.666666667</v>
      </c>
      <c r="F83" s="53">
        <v>0</v>
      </c>
      <c r="G83" s="24">
        <f t="shared" si="0"/>
        <v>0</v>
      </c>
      <c r="H83" s="15">
        <f>IF(G83&gt;0,0,IF(AND(H82=0,SUM(K83:L83)=0),0,IF(D83=0,PPMT(D$65/12,COUNTIF(D$76:D83,0),D$66,Primary_Loan_Amount),0)))</f>
        <v>0</v>
      </c>
      <c r="I83" s="15">
        <f>-SUM(Primary_Loan_Amount)-SUM(H$76:H83)</f>
        <v>-23634000</v>
      </c>
      <c r="J83" s="24">
        <f t="shared" si="1"/>
        <v>-83333.333333333328</v>
      </c>
      <c r="K83" s="51">
        <f>IF(L83=1,0,IF(SUM(K$81:K82)&gt;=Construction_Timeline,0,1))</f>
        <v>0</v>
      </c>
      <c r="L83" s="13">
        <f t="shared" si="3"/>
        <v>1</v>
      </c>
      <c r="M83" s="54">
        <f t="shared" si="5"/>
        <v>46235</v>
      </c>
      <c r="N83" s="7"/>
      <c r="O83" s="12"/>
      <c r="P83" s="98"/>
      <c r="Q83" s="98"/>
      <c r="R83" s="98"/>
      <c r="S83" s="98"/>
      <c r="T83" s="3"/>
      <c r="U83" s="98"/>
      <c r="V83" s="98"/>
      <c r="W83" s="98"/>
      <c r="X83" s="98"/>
    </row>
    <row r="84" spans="2:24">
      <c r="B84" s="7"/>
      <c r="C84" s="7">
        <v>8</v>
      </c>
      <c r="D84" s="24">
        <f t="shared" si="2"/>
        <v>-83333.333333333328</v>
      </c>
      <c r="E84" s="103">
        <f t="shared" si="4"/>
        <v>-7933333.333333334</v>
      </c>
      <c r="F84" s="53">
        <v>0</v>
      </c>
      <c r="G84" s="24">
        <f t="shared" si="0"/>
        <v>0</v>
      </c>
      <c r="H84" s="15">
        <f>IF(G84&gt;0,0,IF(AND(H83=0,SUM(K84:L84)=0),0,IF(D84=0,PPMT(D$65/12,COUNTIF(D$76:D84,0),D$66,Primary_Loan_Amount),0)))</f>
        <v>0</v>
      </c>
      <c r="I84" s="15">
        <f>-SUM(Primary_Loan_Amount)-SUM(H$76:H84)</f>
        <v>-23634000</v>
      </c>
      <c r="J84" s="24">
        <f t="shared" si="1"/>
        <v>-83333.333333333328</v>
      </c>
      <c r="K84" s="51">
        <f>IF(L84=1,0,IF(SUM(K$81:K83)&gt;=Construction_Timeline,0,1))</f>
        <v>0</v>
      </c>
      <c r="L84" s="13">
        <f t="shared" si="3"/>
        <v>1</v>
      </c>
      <c r="M84" s="54">
        <f t="shared" si="5"/>
        <v>46266</v>
      </c>
      <c r="N84" s="7"/>
      <c r="O84" s="12"/>
      <c r="P84" s="98"/>
      <c r="Q84" s="98"/>
      <c r="R84" s="98"/>
      <c r="S84" s="98"/>
      <c r="T84" s="3"/>
      <c r="U84" s="98"/>
      <c r="V84" s="98"/>
      <c r="W84" s="98"/>
      <c r="X84" s="98"/>
    </row>
    <row r="85" spans="2:24">
      <c r="B85" s="7"/>
      <c r="C85" s="7">
        <v>9</v>
      </c>
      <c r="D85" s="24">
        <f t="shared" si="2"/>
        <v>-83333.333333333328</v>
      </c>
      <c r="E85" s="103">
        <f t="shared" si="4"/>
        <v>-7850000.0000000009</v>
      </c>
      <c r="F85" s="53">
        <v>0</v>
      </c>
      <c r="G85" s="24">
        <f t="shared" si="0"/>
        <v>0</v>
      </c>
      <c r="H85" s="15">
        <f>IF(G85&gt;0,0,IF(AND(H84=0,SUM(K85:L85)=0),0,IF(D85=0,PPMT(D$65/12,COUNTIF(D$76:D85,0),D$66,Primary_Loan_Amount),0)))</f>
        <v>0</v>
      </c>
      <c r="I85" s="15">
        <f>-SUM(Primary_Loan_Amount)-SUM(H$76:H85)</f>
        <v>-23634000</v>
      </c>
      <c r="J85" s="24">
        <f t="shared" si="1"/>
        <v>-83333.333333333328</v>
      </c>
      <c r="K85" s="51">
        <f>IF(L85=1,0,IF(SUM(K$81:K84)&gt;=Construction_Timeline,0,1))</f>
        <v>0</v>
      </c>
      <c r="L85" s="13">
        <f t="shared" si="3"/>
        <v>1</v>
      </c>
      <c r="M85" s="54">
        <f t="shared" si="5"/>
        <v>46296</v>
      </c>
      <c r="N85" s="7"/>
      <c r="O85" s="12"/>
      <c r="P85" s="98"/>
      <c r="Q85" s="98"/>
      <c r="R85" s="98"/>
      <c r="S85" s="98"/>
      <c r="T85" s="3"/>
      <c r="U85" s="98"/>
      <c r="V85" s="98"/>
      <c r="W85" s="98"/>
      <c r="X85" s="98"/>
    </row>
    <row r="86" spans="2:24">
      <c r="B86" s="7"/>
      <c r="C86" s="7">
        <v>10</v>
      </c>
      <c r="D86" s="24">
        <f t="shared" si="2"/>
        <v>-83333.333333333328</v>
      </c>
      <c r="E86" s="103">
        <f t="shared" si="4"/>
        <v>-7766666.6666666679</v>
      </c>
      <c r="F86" s="53">
        <v>0</v>
      </c>
      <c r="G86" s="24">
        <f t="shared" si="0"/>
        <v>0</v>
      </c>
      <c r="H86" s="15">
        <f>IF(G86&gt;0,0,IF(AND(H85=0,SUM(K86:L86)=0),0,IF(D86=0,PPMT(D$65/12,COUNTIF(D$76:D86,0),D$66,Primary_Loan_Amount),0)))</f>
        <v>0</v>
      </c>
      <c r="I86" s="15">
        <f>-SUM(Primary_Loan_Amount)-SUM(H$76:H86)</f>
        <v>-23634000</v>
      </c>
      <c r="J86" s="24">
        <f t="shared" si="1"/>
        <v>-83333.333333333328</v>
      </c>
      <c r="K86" s="51">
        <f>IF(L86=1,0,IF(SUM(K$81:K85)&gt;=Construction_Timeline,0,1))</f>
        <v>0</v>
      </c>
      <c r="L86" s="13">
        <f t="shared" si="3"/>
        <v>1</v>
      </c>
      <c r="M86" s="54">
        <f t="shared" si="5"/>
        <v>46327</v>
      </c>
      <c r="N86" s="7"/>
      <c r="O86" s="12"/>
      <c r="P86" s="98"/>
      <c r="Q86" s="98"/>
      <c r="R86" s="98"/>
      <c r="S86" s="98"/>
      <c r="T86" s="3"/>
      <c r="U86" s="98"/>
      <c r="V86" s="98"/>
      <c r="W86" s="98"/>
      <c r="X86" s="98"/>
    </row>
    <row r="87" spans="2:24">
      <c r="B87" s="7"/>
      <c r="C87" s="7">
        <v>11</v>
      </c>
      <c r="D87" s="24">
        <f t="shared" si="2"/>
        <v>-83333.333333333328</v>
      </c>
      <c r="E87" s="103">
        <f t="shared" si="4"/>
        <v>-7683333.3333333349</v>
      </c>
      <c r="F87" s="53">
        <v>0</v>
      </c>
      <c r="G87" s="24">
        <f t="shared" si="0"/>
        <v>0</v>
      </c>
      <c r="H87" s="15">
        <f>IF(G87&gt;0,0,IF(AND(H86=0,SUM(K87:L87)=0),0,IF(D87=0,PPMT(D$65/12,COUNTIF(D$76:D87,0),D$66,Primary_Loan_Amount),0)))</f>
        <v>0</v>
      </c>
      <c r="I87" s="15">
        <f>-SUM(Primary_Loan_Amount)-SUM(H$76:H87)</f>
        <v>-23634000</v>
      </c>
      <c r="J87" s="24">
        <f t="shared" si="1"/>
        <v>-83333.333333333328</v>
      </c>
      <c r="K87" s="51">
        <f>IF(L87=1,0,IF(SUM(K$81:K86)&gt;=Construction_Timeline,0,1))</f>
        <v>0</v>
      </c>
      <c r="L87" s="13">
        <f t="shared" si="3"/>
        <v>1</v>
      </c>
      <c r="M87" s="54">
        <f t="shared" si="5"/>
        <v>46357</v>
      </c>
      <c r="N87" s="7"/>
      <c r="O87" s="12"/>
      <c r="P87" s="98"/>
      <c r="Q87" s="98"/>
      <c r="R87" s="98"/>
      <c r="S87" s="98"/>
      <c r="T87" s="3"/>
      <c r="U87" s="98"/>
      <c r="V87" s="98"/>
      <c r="W87" s="98"/>
      <c r="X87" s="98"/>
    </row>
    <row r="88" spans="2:24">
      <c r="B88" s="7"/>
      <c r="C88" s="7">
        <v>12</v>
      </c>
      <c r="D88" s="24">
        <f t="shared" si="2"/>
        <v>-83333.333333333328</v>
      </c>
      <c r="E88" s="103">
        <f t="shared" si="4"/>
        <v>-7600000.0000000019</v>
      </c>
      <c r="F88" s="53">
        <v>0</v>
      </c>
      <c r="G88" s="24">
        <f t="shared" si="0"/>
        <v>0</v>
      </c>
      <c r="H88" s="15">
        <f>IF(G88&gt;0,0,IF(AND(H87=0,SUM(K88:L88)=0),0,IF(D88=0,PPMT(D$65/12,COUNTIF(D$76:D88,0),D$66,Primary_Loan_Amount),0)))</f>
        <v>0</v>
      </c>
      <c r="I88" s="15">
        <f>-SUM(Primary_Loan_Amount)-SUM(H$76:H88)</f>
        <v>-23634000</v>
      </c>
      <c r="J88" s="24">
        <f t="shared" si="1"/>
        <v>-83333.333333333328</v>
      </c>
      <c r="K88" s="51">
        <f>IF(L88=1,0,IF(SUM(K$81:K87)&gt;=Construction_Timeline,0,1))</f>
        <v>0</v>
      </c>
      <c r="L88" s="13">
        <f t="shared" si="3"/>
        <v>1</v>
      </c>
      <c r="M88" s="54">
        <f t="shared" si="5"/>
        <v>46388</v>
      </c>
      <c r="N88" s="7"/>
      <c r="O88" s="12"/>
      <c r="P88" s="98"/>
      <c r="Q88" s="98"/>
      <c r="R88" s="98"/>
      <c r="S88" s="98"/>
      <c r="T88" s="3"/>
      <c r="U88" s="98"/>
      <c r="V88" s="98"/>
      <c r="W88" s="98"/>
      <c r="X88" s="98"/>
    </row>
    <row r="89" spans="2:24">
      <c r="B89" s="7"/>
      <c r="C89" s="7">
        <v>13</v>
      </c>
      <c r="D89" s="24">
        <f t="shared" si="2"/>
        <v>-83333.333333333328</v>
      </c>
      <c r="E89" s="103">
        <f t="shared" si="4"/>
        <v>-7516666.6666666688</v>
      </c>
      <c r="F89" s="53">
        <v>0</v>
      </c>
      <c r="G89" s="24">
        <f t="shared" si="0"/>
        <v>0</v>
      </c>
      <c r="H89" s="15">
        <f>IF(G89&gt;0,0,IF(AND(H88=0,SUM(K89:L89)=0),0,IF(D89=0,PPMT(D$65/12,COUNTIF(D$76:D89,0),D$66,Primary_Loan_Amount),0)))</f>
        <v>0</v>
      </c>
      <c r="I89" s="15">
        <f>-SUM(Primary_Loan_Amount)-SUM(H$76:H89)</f>
        <v>-23634000</v>
      </c>
      <c r="J89" s="24">
        <f t="shared" si="1"/>
        <v>-83333.333333333328</v>
      </c>
      <c r="K89" s="51">
        <f>IF(L89=1,0,IF(SUM(K$81:K88)&gt;=Construction_Timeline,0,1))</f>
        <v>0</v>
      </c>
      <c r="L89" s="13">
        <f t="shared" si="3"/>
        <v>1</v>
      </c>
      <c r="M89" s="54">
        <f t="shared" si="5"/>
        <v>46419</v>
      </c>
      <c r="N89" s="7"/>
      <c r="O89" s="12"/>
      <c r="P89" s="98"/>
      <c r="Q89" s="98"/>
      <c r="R89" s="98"/>
      <c r="S89" s="98"/>
      <c r="T89" s="3"/>
      <c r="U89" s="98"/>
      <c r="V89" s="98"/>
      <c r="W89" s="98"/>
      <c r="X89" s="98"/>
    </row>
    <row r="90" spans="2:24">
      <c r="B90" s="7"/>
      <c r="C90" s="7">
        <v>14</v>
      </c>
      <c r="D90" s="24">
        <f t="shared" si="2"/>
        <v>-83333.333333333328</v>
      </c>
      <c r="E90" s="103">
        <f t="shared" si="4"/>
        <v>-7433333.3333333358</v>
      </c>
      <c r="F90" s="53">
        <v>0</v>
      </c>
      <c r="G90" s="24">
        <f t="shared" si="0"/>
        <v>0</v>
      </c>
      <c r="H90" s="15">
        <f>IF(G90&gt;0,0,IF(AND(H89=0,SUM(K90:L90)=0),0,IF(D90=0,PPMT(D$65/12,COUNTIF(D$76:D90,0),D$66,Primary_Loan_Amount),0)))</f>
        <v>0</v>
      </c>
      <c r="I90" s="15">
        <f>-SUM(Primary_Loan_Amount)-SUM(H$76:H90)</f>
        <v>-23634000</v>
      </c>
      <c r="J90" s="24">
        <f t="shared" si="1"/>
        <v>-83333.333333333328</v>
      </c>
      <c r="K90" s="51">
        <f>IF(L90=1,0,IF(SUM(K$81:K89)&gt;=Construction_Timeline,0,1))</f>
        <v>0</v>
      </c>
      <c r="L90" s="13">
        <f t="shared" si="3"/>
        <v>1</v>
      </c>
      <c r="M90" s="54">
        <f t="shared" si="5"/>
        <v>46447</v>
      </c>
      <c r="N90" s="7"/>
      <c r="O90" s="12"/>
      <c r="P90" s="98"/>
      <c r="Q90" s="98"/>
      <c r="R90" s="98"/>
      <c r="S90" s="98"/>
      <c r="T90" s="3"/>
      <c r="U90" s="98"/>
      <c r="V90" s="98"/>
      <c r="W90" s="98"/>
      <c r="X90" s="98"/>
    </row>
    <row r="91" spans="2:24">
      <c r="B91" s="7"/>
      <c r="C91" s="7">
        <v>15</v>
      </c>
      <c r="D91" s="24">
        <f t="shared" si="2"/>
        <v>-83333.333333333328</v>
      </c>
      <c r="E91" s="103">
        <f t="shared" si="4"/>
        <v>-7350000.0000000028</v>
      </c>
      <c r="F91" s="53">
        <v>0</v>
      </c>
      <c r="G91" s="24">
        <f t="shared" si="0"/>
        <v>0</v>
      </c>
      <c r="H91" s="15">
        <f>IF(G91&gt;0,0,IF(AND(H90=0,SUM(K91:L91)=0),0,IF(D91=0,PPMT(D$65/12,COUNTIF(D$76:D91,0),D$66,Primary_Loan_Amount),0)))</f>
        <v>0</v>
      </c>
      <c r="I91" s="15">
        <f>-SUM(Primary_Loan_Amount)-SUM(H$76:H91)</f>
        <v>-23634000</v>
      </c>
      <c r="J91" s="24">
        <f t="shared" si="1"/>
        <v>-83333.333333333328</v>
      </c>
      <c r="K91" s="51">
        <f>IF(L91=1,0,IF(SUM(K$81:K90)&gt;=Construction_Timeline,0,1))</f>
        <v>0</v>
      </c>
      <c r="L91" s="13">
        <f t="shared" si="3"/>
        <v>1</v>
      </c>
      <c r="M91" s="54">
        <f t="shared" si="5"/>
        <v>46478</v>
      </c>
      <c r="N91" s="7"/>
      <c r="O91" s="12"/>
      <c r="P91" s="98"/>
      <c r="Q91" s="98"/>
      <c r="R91" s="98"/>
      <c r="S91" s="98"/>
      <c r="T91" s="3"/>
      <c r="U91" s="98"/>
      <c r="V91" s="98"/>
      <c r="W91" s="98"/>
      <c r="X91" s="98"/>
    </row>
    <row r="92" spans="2:24" customFormat="1">
      <c r="B92" s="7"/>
      <c r="C92" s="7">
        <v>16</v>
      </c>
      <c r="D92" s="24">
        <f t="shared" si="2"/>
        <v>-83333.333333333328</v>
      </c>
      <c r="E92" s="103">
        <f t="shared" si="4"/>
        <v>-7266666.6666666698</v>
      </c>
      <c r="F92" s="53">
        <v>0</v>
      </c>
      <c r="G92" s="24">
        <f t="shared" si="0"/>
        <v>0</v>
      </c>
      <c r="H92" s="15">
        <f>IF(G92&gt;0,0,IF(AND(H91=0,SUM(K92:L92)=0),0,IF(D92=0,PPMT(D$65/12,COUNTIF(D$76:D92,0),D$66,Primary_Loan_Amount),0)))</f>
        <v>0</v>
      </c>
      <c r="I92" s="15">
        <f>-SUM(Primary_Loan_Amount)-SUM(H$76:H92)</f>
        <v>-23634000</v>
      </c>
      <c r="J92" s="24">
        <f t="shared" si="1"/>
        <v>-83333.333333333328</v>
      </c>
      <c r="K92" s="51">
        <f>IF(L92=1,0,IF(SUM(K$81:K91)&gt;=Construction_Timeline,0,1))</f>
        <v>0</v>
      </c>
      <c r="L92" s="13">
        <f t="shared" si="3"/>
        <v>1</v>
      </c>
      <c r="M92" s="54">
        <f t="shared" si="5"/>
        <v>46508</v>
      </c>
      <c r="N92" s="7"/>
      <c r="O92" s="12"/>
      <c r="P92" s="98"/>
      <c r="Q92" s="98"/>
      <c r="R92" s="98"/>
      <c r="S92" s="98"/>
      <c r="U92" s="98"/>
      <c r="V92" s="98"/>
      <c r="W92" s="98"/>
      <c r="X92" s="98"/>
    </row>
    <row r="93" spans="2:24" customFormat="1">
      <c r="B93" s="7"/>
      <c r="C93" s="7">
        <v>17</v>
      </c>
      <c r="D93" s="24">
        <f t="shared" si="2"/>
        <v>-83333.333333333328</v>
      </c>
      <c r="E93" s="103">
        <f t="shared" si="4"/>
        <v>-7183333.3333333367</v>
      </c>
      <c r="F93" s="53">
        <v>0</v>
      </c>
      <c r="G93" s="24">
        <f t="shared" si="0"/>
        <v>0</v>
      </c>
      <c r="H93" s="15">
        <f>IF(G93&gt;0,0,IF(AND(H92=0,SUM(K93:L93)=0),0,IF(D93=0,PPMT(D$65/12,COUNTIF(D$76:D93,0),D$66,Primary_Loan_Amount),0)))</f>
        <v>0</v>
      </c>
      <c r="I93" s="15">
        <f>-SUM(Primary_Loan_Amount)-SUM(H$76:H93)</f>
        <v>-23634000</v>
      </c>
      <c r="J93" s="24">
        <f t="shared" si="1"/>
        <v>-83333.333333333328</v>
      </c>
      <c r="K93" s="51">
        <f>IF(L93=1,0,IF(SUM(K$81:K92)&gt;=Construction_Timeline,0,1))</f>
        <v>0</v>
      </c>
      <c r="L93" s="13">
        <f t="shared" si="3"/>
        <v>1</v>
      </c>
      <c r="M93" s="54">
        <f t="shared" si="5"/>
        <v>46539</v>
      </c>
      <c r="N93" s="7"/>
      <c r="O93" s="12"/>
      <c r="P93" s="98"/>
      <c r="Q93" s="98"/>
      <c r="R93" s="98"/>
      <c r="S93" s="98"/>
      <c r="U93" s="98"/>
      <c r="V93" s="98"/>
      <c r="W93" s="98"/>
      <c r="X93" s="98"/>
    </row>
    <row r="94" spans="2:24" customFormat="1">
      <c r="B94" s="7"/>
      <c r="C94" s="7">
        <v>18</v>
      </c>
      <c r="D94" s="24">
        <f t="shared" si="2"/>
        <v>-83333.333333333328</v>
      </c>
      <c r="E94" s="103">
        <f t="shared" si="4"/>
        <v>-7100000.0000000037</v>
      </c>
      <c r="F94" s="53">
        <v>0</v>
      </c>
      <c r="G94" s="24">
        <f t="shared" si="0"/>
        <v>0</v>
      </c>
      <c r="H94" s="15">
        <f>IF(G94&gt;0,0,IF(AND(H93=0,SUM(K94:L94)=0),0,IF(D94=0,PPMT(D$65/12,COUNTIF(D$76:D94,0),D$66,Primary_Loan_Amount),0)))</f>
        <v>0</v>
      </c>
      <c r="I94" s="15">
        <f>-SUM(Primary_Loan_Amount)-SUM(H$76:H94)</f>
        <v>-23634000</v>
      </c>
      <c r="J94" s="24">
        <f t="shared" si="1"/>
        <v>-83333.333333333328</v>
      </c>
      <c r="K94" s="51">
        <f>IF(L94=1,0,IF(SUM(K$81:K93)&gt;=Construction_Timeline,0,1))</f>
        <v>0</v>
      </c>
      <c r="L94" s="13">
        <f t="shared" si="3"/>
        <v>1</v>
      </c>
      <c r="M94" s="54">
        <f t="shared" si="5"/>
        <v>46569</v>
      </c>
      <c r="N94" s="7"/>
      <c r="O94" s="12"/>
      <c r="P94" s="98"/>
      <c r="Q94" s="98"/>
      <c r="R94" s="98"/>
      <c r="S94" s="98"/>
      <c r="U94" s="98"/>
      <c r="V94" s="98"/>
      <c r="W94" s="98"/>
      <c r="X94" s="98"/>
    </row>
    <row r="95" spans="2:24" customFormat="1">
      <c r="B95" s="7"/>
      <c r="C95" s="7">
        <v>19</v>
      </c>
      <c r="D95" s="24">
        <f t="shared" si="2"/>
        <v>-83333.333333333328</v>
      </c>
      <c r="E95" s="103">
        <f t="shared" si="4"/>
        <v>-7016666.6666666707</v>
      </c>
      <c r="F95" s="53">
        <v>0</v>
      </c>
      <c r="G95" s="24">
        <f t="shared" si="0"/>
        <v>0</v>
      </c>
      <c r="H95" s="15">
        <f>IF(G95&gt;0,0,IF(AND(H94=0,SUM(K95:L95)=0),0,IF(D95=0,PPMT(D$65/12,COUNTIF(D$76:D95,0),D$66,Primary_Loan_Amount),0)))</f>
        <v>0</v>
      </c>
      <c r="I95" s="15">
        <f>-SUM(Primary_Loan_Amount)-SUM(H$76:H95)</f>
        <v>-23634000</v>
      </c>
      <c r="J95" s="24">
        <f t="shared" si="1"/>
        <v>-83333.333333333328</v>
      </c>
      <c r="K95" s="51">
        <f>IF(L95=1,0,IF(SUM(K$81:K94)&gt;=Construction_Timeline,0,1))</f>
        <v>0</v>
      </c>
      <c r="L95" s="13">
        <f t="shared" si="3"/>
        <v>1</v>
      </c>
      <c r="M95" s="54">
        <f t="shared" si="5"/>
        <v>46600</v>
      </c>
      <c r="N95" s="7"/>
      <c r="O95" s="12"/>
      <c r="P95" s="98"/>
      <c r="Q95" s="98"/>
      <c r="R95" s="98"/>
      <c r="S95" s="98"/>
      <c r="U95" s="98"/>
      <c r="V95" s="98"/>
      <c r="W95" s="98"/>
      <c r="X95" s="98"/>
    </row>
    <row r="96" spans="2:24" customFormat="1">
      <c r="B96" s="7"/>
      <c r="C96" s="7">
        <v>20</v>
      </c>
      <c r="D96" s="24">
        <f t="shared" si="2"/>
        <v>-83333.333333333328</v>
      </c>
      <c r="E96" s="103">
        <f t="shared" si="4"/>
        <v>-6933333.3333333377</v>
      </c>
      <c r="F96" s="53">
        <v>0</v>
      </c>
      <c r="G96" s="24">
        <f t="shared" si="0"/>
        <v>0</v>
      </c>
      <c r="H96" s="15">
        <f>IF(G96&gt;0,0,IF(AND(H95=0,SUM(K96:L96)=0),0,IF(D96=0,PPMT(D$65/12,COUNTIF(D$76:D96,0),D$66,Primary_Loan_Amount),0)))</f>
        <v>0</v>
      </c>
      <c r="I96" s="15">
        <f>-SUM(Primary_Loan_Amount)-SUM(H$76:H96)</f>
        <v>-23634000</v>
      </c>
      <c r="J96" s="24">
        <f t="shared" si="1"/>
        <v>-83333.333333333328</v>
      </c>
      <c r="K96" s="51">
        <f>IF(L96=1,0,IF(SUM(K$81:K95)&gt;=Construction_Timeline,0,1))</f>
        <v>0</v>
      </c>
      <c r="L96" s="13">
        <f t="shared" si="3"/>
        <v>1</v>
      </c>
      <c r="M96" s="54">
        <f t="shared" si="5"/>
        <v>46631</v>
      </c>
      <c r="N96" s="7"/>
      <c r="O96" s="12"/>
      <c r="P96" s="98"/>
      <c r="Q96" s="98"/>
      <c r="R96" s="98"/>
      <c r="S96" s="98"/>
      <c r="U96" s="98"/>
      <c r="V96" s="98"/>
      <c r="W96" s="98"/>
      <c r="X96" s="98"/>
    </row>
    <row r="97" spans="2:24" customFormat="1">
      <c r="B97" s="7"/>
      <c r="C97" s="7">
        <v>21</v>
      </c>
      <c r="D97" s="24">
        <f t="shared" si="2"/>
        <v>-83333.333333333328</v>
      </c>
      <c r="E97" s="103">
        <f>E96-D97</f>
        <v>-6850000.0000000047</v>
      </c>
      <c r="F97" s="53">
        <v>0</v>
      </c>
      <c r="G97" s="24">
        <f t="shared" si="0"/>
        <v>0</v>
      </c>
      <c r="H97" s="15">
        <f>IF(G97&gt;0,0,IF(AND(H96=0,SUM(K97:L97)=0),0,IF(D97=0,PPMT(D$65/12,COUNTIF(D$76:D97,0),D$66,Primary_Loan_Amount),0)))</f>
        <v>0</v>
      </c>
      <c r="I97" s="15">
        <f>-SUM(Primary_Loan_Amount)-SUM(H$76:H97)</f>
        <v>-23634000</v>
      </c>
      <c r="J97" s="24">
        <f t="shared" si="1"/>
        <v>-83333.333333333328</v>
      </c>
      <c r="K97" s="51">
        <f>IF(L97=1,0,IF(SUM(K$81:K96)&gt;=Construction_Timeline,0,1))</f>
        <v>0</v>
      </c>
      <c r="L97" s="13">
        <f t="shared" si="3"/>
        <v>1</v>
      </c>
      <c r="M97" s="54">
        <f t="shared" si="5"/>
        <v>46661</v>
      </c>
      <c r="N97" s="7"/>
      <c r="O97" s="12"/>
      <c r="P97" s="98"/>
      <c r="Q97" s="98"/>
      <c r="R97" s="98"/>
      <c r="S97" s="98"/>
      <c r="U97" s="98"/>
      <c r="V97" s="98"/>
      <c r="W97" s="98"/>
      <c r="X97" s="98"/>
    </row>
    <row r="98" spans="2:24" customFormat="1">
      <c r="B98" s="7"/>
      <c r="C98" s="7">
        <v>22</v>
      </c>
      <c r="D98" s="24">
        <f t="shared" si="2"/>
        <v>-83333.333333333328</v>
      </c>
      <c r="E98" s="103">
        <f t="shared" si="4"/>
        <v>-6766666.6666666716</v>
      </c>
      <c r="F98" s="53">
        <v>0</v>
      </c>
      <c r="G98" s="24">
        <f t="shared" si="0"/>
        <v>0</v>
      </c>
      <c r="H98" s="15">
        <f>IF(G98&gt;0,0,IF(AND(H97=0,SUM(K98:L98)=0),0,IF(D98=0,PPMT(D$65/12,COUNTIF(D$76:D98,0),D$66,Primary_Loan_Amount),0)))</f>
        <v>0</v>
      </c>
      <c r="I98" s="15">
        <f>-SUM(Primary_Loan_Amount)-SUM(H$76:H98)</f>
        <v>-23634000</v>
      </c>
      <c r="J98" s="24">
        <f t="shared" si="1"/>
        <v>-83333.333333333328</v>
      </c>
      <c r="K98" s="51">
        <f>IF(L98=1,0,IF(SUM(K$81:K97)&gt;=Construction_Timeline,0,1))</f>
        <v>0</v>
      </c>
      <c r="L98" s="13">
        <f t="shared" si="3"/>
        <v>1</v>
      </c>
      <c r="M98" s="54">
        <f t="shared" si="5"/>
        <v>46692</v>
      </c>
      <c r="N98" s="7"/>
      <c r="O98" s="12"/>
      <c r="P98" s="98"/>
      <c r="Q98" s="98"/>
      <c r="R98" s="98"/>
      <c r="S98" s="98"/>
      <c r="U98" s="98"/>
      <c r="V98" s="98"/>
      <c r="W98" s="98"/>
      <c r="X98" s="98"/>
    </row>
    <row r="99" spans="2:24" customFormat="1">
      <c r="B99" s="7"/>
      <c r="C99" s="7">
        <v>23</v>
      </c>
      <c r="D99" s="24">
        <f t="shared" si="2"/>
        <v>-83333.333333333328</v>
      </c>
      <c r="E99" s="103">
        <f t="shared" si="4"/>
        <v>-6683333.3333333386</v>
      </c>
      <c r="F99" s="53">
        <v>0</v>
      </c>
      <c r="G99" s="24">
        <f t="shared" si="0"/>
        <v>0</v>
      </c>
      <c r="H99" s="15">
        <f>IF(G99&gt;0,0,IF(AND(H98=0,SUM(K99:L99)=0),0,IF(D99=0,PPMT(D$65/12,COUNTIF(D$76:D99,0),D$66,Primary_Loan_Amount),0)))</f>
        <v>0</v>
      </c>
      <c r="I99" s="15">
        <f>-SUM(Primary_Loan_Amount)-SUM(H$76:H99)</f>
        <v>-23634000</v>
      </c>
      <c r="J99" s="24">
        <f t="shared" si="1"/>
        <v>-83333.333333333328</v>
      </c>
      <c r="K99" s="51">
        <f>IF(L99=1,0,IF(SUM(K$81:K98)&gt;=Construction_Timeline,0,1))</f>
        <v>0</v>
      </c>
      <c r="L99" s="13">
        <f t="shared" si="3"/>
        <v>1</v>
      </c>
      <c r="M99" s="54">
        <f t="shared" si="5"/>
        <v>46722</v>
      </c>
      <c r="N99" s="7"/>
      <c r="O99" s="12"/>
      <c r="P99" s="98"/>
      <c r="Q99" s="98"/>
      <c r="R99" s="98"/>
      <c r="S99" s="98"/>
      <c r="U99" s="98"/>
      <c r="V99" s="98"/>
      <c r="W99" s="98"/>
      <c r="X99" s="98"/>
    </row>
    <row r="100" spans="2:24" customFormat="1">
      <c r="B100" s="7"/>
      <c r="C100" s="7">
        <v>24</v>
      </c>
      <c r="D100" s="24">
        <f t="shared" si="2"/>
        <v>-83333.333333333328</v>
      </c>
      <c r="E100" s="103">
        <f t="shared" si="4"/>
        <v>-6600000.0000000056</v>
      </c>
      <c r="F100" s="53">
        <v>0</v>
      </c>
      <c r="G100" s="24">
        <f t="shared" si="0"/>
        <v>0</v>
      </c>
      <c r="H100" s="15">
        <f>IF(G100&gt;0,0,IF(AND(H99=0,SUM(K100:L100)=0),0,IF(D100=0,PPMT(D$65/12,COUNTIF(D$76:D100,0),D$66,Primary_Loan_Amount),0)))</f>
        <v>0</v>
      </c>
      <c r="I100" s="15">
        <f>-SUM(Primary_Loan_Amount)-SUM(H$76:H100)</f>
        <v>-23634000</v>
      </c>
      <c r="J100" s="24">
        <f t="shared" si="1"/>
        <v>-83333.333333333328</v>
      </c>
      <c r="K100" s="51">
        <f>IF(L100=1,0,IF(SUM(K$81:K99)&gt;=Construction_Timeline,0,1))</f>
        <v>0</v>
      </c>
      <c r="L100" s="13">
        <f t="shared" si="3"/>
        <v>1</v>
      </c>
      <c r="M100" s="54">
        <f t="shared" si="5"/>
        <v>46753</v>
      </c>
      <c r="N100" s="7"/>
      <c r="O100" s="12"/>
      <c r="P100" s="98"/>
      <c r="Q100" s="98"/>
      <c r="R100" s="98"/>
      <c r="S100" s="98"/>
      <c r="U100" s="98"/>
      <c r="V100" s="98"/>
      <c r="W100" s="98"/>
      <c r="X100" s="98"/>
    </row>
    <row r="101" spans="2:24" customFormat="1">
      <c r="B101" s="7"/>
      <c r="C101" s="7">
        <v>25</v>
      </c>
      <c r="D101" s="24">
        <f t="shared" si="2"/>
        <v>-1313000</v>
      </c>
      <c r="E101" s="103">
        <f t="shared" si="4"/>
        <v>-5287000.0000000056</v>
      </c>
      <c r="F101" s="53">
        <v>0</v>
      </c>
      <c r="G101" s="24">
        <f t="shared" si="0"/>
        <v>0</v>
      </c>
      <c r="H101" s="15">
        <f>IF(G101&gt;0,0,IF(AND(H100=0,SUM(K101:L101)=0),0,IF(D101=0,PPMT(D$65/12,COUNTIF(D$76:D101,0),D$66,Primary_Loan_Amount),0)))</f>
        <v>0</v>
      </c>
      <c r="I101" s="15">
        <f>-SUM(Primary_Loan_Amount)-SUM(H$76:H101)</f>
        <v>-23634000</v>
      </c>
      <c r="J101" s="24">
        <f t="shared" si="1"/>
        <v>-1313000</v>
      </c>
      <c r="K101" s="51">
        <f>IF(L101=1,0,IF(SUM(K$81:K100)&gt;=Construction_Timeline,0,1))</f>
        <v>1</v>
      </c>
      <c r="L101" s="13">
        <f t="shared" si="3"/>
        <v>0</v>
      </c>
      <c r="M101" s="54">
        <f t="shared" si="5"/>
        <v>46784</v>
      </c>
      <c r="N101" s="7"/>
      <c r="O101" s="12"/>
      <c r="P101" s="98"/>
      <c r="Q101" s="98"/>
      <c r="R101" s="98"/>
      <c r="S101" s="98"/>
      <c r="U101" s="98"/>
      <c r="V101" s="98"/>
      <c r="W101" s="98"/>
      <c r="X101" s="98"/>
    </row>
    <row r="102" spans="2:24" customFormat="1">
      <c r="B102" s="7"/>
      <c r="C102" s="7">
        <v>26</v>
      </c>
      <c r="D102" s="24">
        <f t="shared" si="2"/>
        <v>-1313000</v>
      </c>
      <c r="E102" s="103">
        <f t="shared" si="4"/>
        <v>-3974000.0000000056</v>
      </c>
      <c r="F102" s="53">
        <v>0</v>
      </c>
      <c r="G102" s="24">
        <f t="shared" si="0"/>
        <v>0</v>
      </c>
      <c r="H102" s="15">
        <f>IF(G102&gt;0,0,IF(AND(H101=0,SUM(K102:L102)=0),0,IF(D102=0,PPMT(D$65/12,COUNTIF(D$76:D102,0),D$66,Primary_Loan_Amount),0)))</f>
        <v>0</v>
      </c>
      <c r="I102" s="15">
        <f>-SUM(Primary_Loan_Amount)-SUM(H$76:H102)</f>
        <v>-23634000</v>
      </c>
      <c r="J102" s="24">
        <f t="shared" si="1"/>
        <v>-1313000</v>
      </c>
      <c r="K102" s="51">
        <f>IF(L102=1,0,IF(SUM(K$81:K101)&gt;=Construction_Timeline,0,1))</f>
        <v>1</v>
      </c>
      <c r="L102" s="13">
        <f t="shared" si="3"/>
        <v>0</v>
      </c>
      <c r="M102" s="54">
        <f t="shared" si="5"/>
        <v>46813</v>
      </c>
      <c r="N102" s="7"/>
      <c r="O102" s="12"/>
      <c r="P102" s="98"/>
      <c r="Q102" s="98"/>
      <c r="R102" s="98"/>
      <c r="S102" s="98"/>
      <c r="U102" s="98"/>
      <c r="V102" s="98"/>
      <c r="W102" s="98"/>
      <c r="X102" s="98"/>
    </row>
    <row r="103" spans="2:24" customFormat="1">
      <c r="B103" s="7"/>
      <c r="C103" s="7">
        <v>27</v>
      </c>
      <c r="D103" s="24">
        <f t="shared" si="2"/>
        <v>-1313000</v>
      </c>
      <c r="E103" s="103">
        <f t="shared" si="4"/>
        <v>-2661000.0000000056</v>
      </c>
      <c r="F103" s="53">
        <v>0</v>
      </c>
      <c r="G103" s="24">
        <f t="shared" si="0"/>
        <v>0</v>
      </c>
      <c r="H103" s="15">
        <f>IF(G103&gt;0,0,IF(AND(H102=0,SUM(K103:L103)=0),0,IF(D103=0,PPMT(D$65/12,COUNTIF(D$76:D103,0),D$66,Primary_Loan_Amount),0)))</f>
        <v>0</v>
      </c>
      <c r="I103" s="15">
        <f>-SUM(Primary_Loan_Amount)-SUM(H$76:H103)</f>
        <v>-23634000</v>
      </c>
      <c r="J103" s="24">
        <f t="shared" si="1"/>
        <v>-1313000</v>
      </c>
      <c r="K103" s="51">
        <f>IF(L103=1,0,IF(SUM(K$81:K102)&gt;=Construction_Timeline,0,1))</f>
        <v>1</v>
      </c>
      <c r="L103" s="13">
        <f t="shared" si="3"/>
        <v>0</v>
      </c>
      <c r="M103" s="54">
        <f t="shared" si="5"/>
        <v>46844</v>
      </c>
      <c r="N103" s="7"/>
      <c r="O103" s="12"/>
      <c r="P103" s="98"/>
      <c r="Q103" s="98"/>
      <c r="R103" s="98"/>
      <c r="S103" s="98"/>
      <c r="U103" s="98"/>
      <c r="V103" s="98"/>
      <c r="W103" s="98"/>
      <c r="X103" s="98"/>
    </row>
    <row r="104" spans="2:24" customFormat="1">
      <c r="B104" s="7"/>
      <c r="C104" s="7">
        <v>28</v>
      </c>
      <c r="D104" s="24">
        <f t="shared" si="2"/>
        <v>-1313000</v>
      </c>
      <c r="E104" s="103">
        <f t="shared" si="4"/>
        <v>-1348000.0000000056</v>
      </c>
      <c r="F104" s="53">
        <v>0</v>
      </c>
      <c r="G104" s="24">
        <f t="shared" si="0"/>
        <v>0</v>
      </c>
      <c r="H104" s="15">
        <f>IF(G104&gt;0,0,IF(AND(H103=0,SUM(K104:L104)=0),0,IF(D104=0,PPMT(D$65/12,COUNTIF(D$76:D104,0),D$66,Primary_Loan_Amount),0)))</f>
        <v>0</v>
      </c>
      <c r="I104" s="15">
        <f>-SUM(Primary_Loan_Amount)-SUM(H$76:H104)</f>
        <v>-23634000</v>
      </c>
      <c r="J104" s="24">
        <f t="shared" si="1"/>
        <v>-1313000</v>
      </c>
      <c r="K104" s="51">
        <f>IF(L104=1,0,IF(SUM(K$81:K103)&gt;=Construction_Timeline,0,1))</f>
        <v>1</v>
      </c>
      <c r="L104" s="13">
        <f t="shared" si="3"/>
        <v>0</v>
      </c>
      <c r="M104" s="54">
        <f t="shared" si="5"/>
        <v>46874</v>
      </c>
      <c r="N104" s="7"/>
      <c r="O104" s="12"/>
      <c r="P104" s="98"/>
      <c r="Q104" s="98"/>
      <c r="R104" s="98"/>
      <c r="S104" s="98"/>
      <c r="U104" s="98"/>
      <c r="V104" s="98"/>
      <c r="W104" s="98"/>
      <c r="X104" s="98"/>
    </row>
    <row r="105" spans="2:24" customFormat="1">
      <c r="B105" s="7"/>
      <c r="C105" s="7">
        <v>29</v>
      </c>
      <c r="D105" s="24">
        <f t="shared" si="2"/>
        <v>-1313000</v>
      </c>
      <c r="E105" s="103">
        <f t="shared" si="4"/>
        <v>-35000.000000005588</v>
      </c>
      <c r="F105" s="53">
        <v>0</v>
      </c>
      <c r="G105" s="24">
        <f t="shared" si="0"/>
        <v>0</v>
      </c>
      <c r="H105" s="15">
        <f>IF(G105&gt;0,0,IF(AND(H104=0,SUM(K105:L105)=0),0,IF(D105=0,PPMT(D$65/12,COUNTIF(D$76:D105,0),D$66,Primary_Loan_Amount),0)))</f>
        <v>0</v>
      </c>
      <c r="I105" s="15">
        <f>-SUM(Primary_Loan_Amount)-SUM(H$76:H105)</f>
        <v>-23634000</v>
      </c>
      <c r="J105" s="24">
        <f t="shared" si="1"/>
        <v>-1313000</v>
      </c>
      <c r="K105" s="51">
        <f>IF(L105=1,0,IF(SUM(K$81:K104)&gt;=Construction_Timeline,0,1))</f>
        <v>1</v>
      </c>
      <c r="L105" s="13">
        <f t="shared" si="3"/>
        <v>0</v>
      </c>
      <c r="M105" s="54">
        <f t="shared" si="5"/>
        <v>46905</v>
      </c>
      <c r="N105" s="7"/>
      <c r="O105" s="12"/>
      <c r="P105" s="98"/>
      <c r="Q105" s="98"/>
      <c r="R105" s="98"/>
      <c r="S105" s="98"/>
      <c r="U105" s="98"/>
      <c r="V105" s="98"/>
      <c r="W105" s="98"/>
      <c r="X105" s="98"/>
    </row>
    <row r="106" spans="2:24" customFormat="1">
      <c r="B106" s="7"/>
      <c r="C106" s="7">
        <v>30</v>
      </c>
      <c r="D106" s="24">
        <f t="shared" si="2"/>
        <v>-35000.000000005588</v>
      </c>
      <c r="E106" s="103">
        <f t="shared" si="4"/>
        <v>0</v>
      </c>
      <c r="F106" s="53">
        <v>0</v>
      </c>
      <c r="G106" s="24">
        <f t="shared" si="0"/>
        <v>0</v>
      </c>
      <c r="H106" s="15">
        <f>IF(G106&gt;0,0,IF(AND(H105=0,SUM(K106:L106)=0),0,IF(D106=0,PPMT(D$65/12,COUNTIF(D$76:D106,0),D$66,Primary_Loan_Amount),0)))</f>
        <v>0</v>
      </c>
      <c r="I106" s="15">
        <f>-SUM(Primary_Loan_Amount)-SUM(H$76:H106)</f>
        <v>-23634000</v>
      </c>
      <c r="J106" s="24">
        <f t="shared" si="1"/>
        <v>-35000.000000005588</v>
      </c>
      <c r="K106" s="51">
        <f>IF(L106=1,0,IF(SUM(K$81:K105)&gt;=Construction_Timeline,0,1))</f>
        <v>1</v>
      </c>
      <c r="L106" s="13">
        <f t="shared" si="3"/>
        <v>0</v>
      </c>
      <c r="M106" s="54">
        <f t="shared" si="5"/>
        <v>46935</v>
      </c>
      <c r="N106" s="7"/>
      <c r="O106" s="12"/>
      <c r="P106" s="98"/>
      <c r="Q106" s="98"/>
      <c r="R106" s="98"/>
      <c r="S106" s="98"/>
      <c r="U106" s="98"/>
      <c r="V106" s="98"/>
      <c r="W106" s="98"/>
      <c r="X106" s="98"/>
    </row>
    <row r="107" spans="2:24" customFormat="1">
      <c r="B107" s="7"/>
      <c r="C107" s="7">
        <v>31</v>
      </c>
      <c r="D107" s="24">
        <f t="shared" si="2"/>
        <v>0</v>
      </c>
      <c r="E107" s="103">
        <f t="shared" si="4"/>
        <v>0</v>
      </c>
      <c r="F107" s="53">
        <v>0</v>
      </c>
      <c r="G107" s="24">
        <f t="shared" si="0"/>
        <v>0</v>
      </c>
      <c r="H107" s="15">
        <f>IF(G107&gt;0,0,IF(AND(H106=0,SUM(K107:L107)=0),0,IF(D107=0,PPMT(D$65/12,COUNTIF(D$76:D107,0),D$66,Primary_Loan_Amount),0)))</f>
        <v>-23527.771114601488</v>
      </c>
      <c r="I107" s="15">
        <f>-SUM(Primary_Loan_Amount)-SUM(H$76:H107)</f>
        <v>-23610472.228885397</v>
      </c>
      <c r="J107" s="24">
        <f t="shared" si="1"/>
        <v>0</v>
      </c>
      <c r="K107" s="51">
        <f>IF(L107=1,0,IF(SUM(K$81:K106)&gt;=Construction_Timeline,0,1))</f>
        <v>1</v>
      </c>
      <c r="L107" s="13">
        <f t="shared" si="3"/>
        <v>0</v>
      </c>
      <c r="M107" s="54">
        <f t="shared" si="5"/>
        <v>46966</v>
      </c>
      <c r="N107" s="7"/>
      <c r="O107" s="12"/>
      <c r="P107" s="98"/>
      <c r="Q107" s="98"/>
      <c r="R107" s="98"/>
      <c r="S107" s="98"/>
      <c r="U107" s="98"/>
      <c r="V107" s="98"/>
      <c r="W107" s="98"/>
      <c r="X107" s="98"/>
    </row>
    <row r="108" spans="2:24" customFormat="1">
      <c r="B108" s="7"/>
      <c r="C108" s="7">
        <v>32</v>
      </c>
      <c r="D108" s="24">
        <f t="shared" si="2"/>
        <v>0</v>
      </c>
      <c r="E108" s="103">
        <f t="shared" si="4"/>
        <v>0</v>
      </c>
      <c r="F108" s="53">
        <v>0</v>
      </c>
      <c r="G108" s="24">
        <f t="shared" ref="G108:G139" si="6">IF(C108=SUM(Month_of_Sale,PreDev_Timeline,Construction_Timeline),Sale_Price*(1-D$64),0)</f>
        <v>0</v>
      </c>
      <c r="H108" s="15">
        <f>IF(G108&gt;0,0,IF(AND(H107=0,SUM(K108:L108)=0),0,IF(D108=0,PPMT(D$65/12,COUNTIF(D$76:D108,0),D$66,Primary_Loan_Amount),0)))</f>
        <v>-23645.409970174493</v>
      </c>
      <c r="I108" s="15">
        <f>-SUM(Primary_Loan_Amount)-SUM(H$76:H108)</f>
        <v>-23586826.818915226</v>
      </c>
      <c r="J108" s="24">
        <f t="shared" ref="J108:J139" si="7">SUM(D108,F108,G108)+IF(G108&gt;0,I108)</f>
        <v>0</v>
      </c>
      <c r="K108" s="51">
        <f>IF(L108=1,0,IF(SUM(K$81:K107)&gt;=Construction_Timeline,0,1))</f>
        <v>1</v>
      </c>
      <c r="L108" s="13">
        <f t="shared" si="3"/>
        <v>0</v>
      </c>
      <c r="M108" s="54">
        <f t="shared" si="5"/>
        <v>46997</v>
      </c>
      <c r="N108" s="7"/>
      <c r="O108" s="12"/>
      <c r="P108" s="98"/>
      <c r="Q108" s="98"/>
      <c r="R108" s="98"/>
      <c r="S108" s="98"/>
      <c r="U108" s="98"/>
      <c r="V108" s="98"/>
      <c r="W108" s="98"/>
      <c r="X108" s="98"/>
    </row>
    <row r="109" spans="2:24" customFormat="1">
      <c r="B109" s="7"/>
      <c r="C109" s="7">
        <v>33</v>
      </c>
      <c r="D109" s="24">
        <f t="shared" ref="D109:D140" si="8">IF(AND(C108&gt;0,E108&gt;=D108),E108,IF(L109=1,-Pre_Development_Costs/PreDev_Timeline,IF(K109=1,MAX(E108,-D$52/Construction_Timeline),0)))</f>
        <v>0</v>
      </c>
      <c r="E109" s="103">
        <f t="shared" si="4"/>
        <v>0</v>
      </c>
      <c r="F109" s="53">
        <v>0</v>
      </c>
      <c r="G109" s="24">
        <f t="shared" si="6"/>
        <v>0</v>
      </c>
      <c r="H109" s="15">
        <f>IF(G109&gt;0,0,IF(AND(H108=0,SUM(K109:L109)=0),0,IF(D109=0,PPMT(D$65/12,COUNTIF(D$76:D109,0),D$66,Primary_Loan_Amount),0)))</f>
        <v>-23763.637020025366</v>
      </c>
      <c r="I109" s="15">
        <f>-SUM(Primary_Loan_Amount)-SUM(H$76:H109)</f>
        <v>-23563063.1818952</v>
      </c>
      <c r="J109" s="24">
        <f t="shared" si="7"/>
        <v>0</v>
      </c>
      <c r="K109" s="51">
        <f>IF(L109=1,0,IF(SUM(K$81:K108)&gt;=Construction_Timeline,0,1))</f>
        <v>1</v>
      </c>
      <c r="L109" s="13">
        <f t="shared" ref="L109:L140" si="9">IF(C109&lt;=PreDev_Timeline,1,0)</f>
        <v>0</v>
      </c>
      <c r="M109" s="54">
        <f t="shared" si="5"/>
        <v>47027</v>
      </c>
      <c r="N109" s="7"/>
      <c r="O109" s="12"/>
      <c r="P109" s="98"/>
      <c r="Q109" s="98"/>
      <c r="R109" s="98"/>
      <c r="S109" s="98"/>
      <c r="U109" s="98"/>
      <c r="V109" s="98"/>
      <c r="W109" s="98"/>
      <c r="X109" s="98"/>
    </row>
    <row r="110" spans="2:24">
      <c r="B110" s="7"/>
      <c r="C110" s="7">
        <v>34</v>
      </c>
      <c r="D110" s="24">
        <f t="shared" si="8"/>
        <v>0</v>
      </c>
      <c r="E110" s="103">
        <f t="shared" si="4"/>
        <v>0</v>
      </c>
      <c r="F110" s="53">
        <v>0</v>
      </c>
      <c r="G110" s="24">
        <f t="shared" si="6"/>
        <v>0</v>
      </c>
      <c r="H110" s="15">
        <f>IF(G110&gt;0,0,IF(AND(H109=0,SUM(K110:L110)=0),0,IF(D110=0,PPMT(D$65/12,COUNTIF(D$76:D110,0),D$66,Primary_Loan_Amount),0)))</f>
        <v>-23882.455205125498</v>
      </c>
      <c r="I110" s="15">
        <f>-SUM(Primary_Loan_Amount)-SUM(H$76:H110)</f>
        <v>-23539180.726690073</v>
      </c>
      <c r="J110" s="24">
        <f t="shared" si="7"/>
        <v>0</v>
      </c>
      <c r="K110" s="51">
        <f>IF(L110=1,0,IF(SUM(K$81:K109)&gt;=Construction_Timeline,0,1))</f>
        <v>1</v>
      </c>
      <c r="L110" s="13">
        <f t="shared" si="9"/>
        <v>0</v>
      </c>
      <c r="M110" s="54">
        <f t="shared" si="5"/>
        <v>47058</v>
      </c>
      <c r="N110" s="7"/>
      <c r="O110" s="12"/>
      <c r="P110" s="98"/>
      <c r="Q110" s="98"/>
      <c r="R110" s="98"/>
      <c r="S110" s="98"/>
      <c r="T110" s="3"/>
      <c r="U110" s="98"/>
      <c r="V110" s="98"/>
      <c r="W110" s="98"/>
      <c r="X110" s="98"/>
    </row>
    <row r="111" spans="2:24">
      <c r="B111" s="7"/>
      <c r="C111" s="7">
        <v>35</v>
      </c>
      <c r="D111" s="24">
        <f t="shared" si="8"/>
        <v>0</v>
      </c>
      <c r="E111" s="103">
        <f t="shared" si="4"/>
        <v>0</v>
      </c>
      <c r="F111" s="53">
        <v>0</v>
      </c>
      <c r="G111" s="24">
        <f t="shared" si="6"/>
        <v>0</v>
      </c>
      <c r="H111" s="15">
        <f>IF(G111&gt;0,0,IF(AND(H110=0,SUM(K111:L111)=0),0,IF(D111=0,PPMT(D$65/12,COUNTIF(D$76:D111,0),D$66,Primary_Loan_Amount),0)))</f>
        <v>-24001.867481151123</v>
      </c>
      <c r="I111" s="15">
        <f>-SUM(Primary_Loan_Amount)-SUM(H$76:H111)</f>
        <v>-23515178.859208923</v>
      </c>
      <c r="J111" s="24">
        <f t="shared" si="7"/>
        <v>0</v>
      </c>
      <c r="K111" s="51">
        <f>IF(L111=1,0,IF(SUM(K$81:K110)&gt;=Construction_Timeline,0,1))</f>
        <v>1</v>
      </c>
      <c r="L111" s="13">
        <f t="shared" si="9"/>
        <v>0</v>
      </c>
      <c r="M111" s="54">
        <f t="shared" si="5"/>
        <v>47088</v>
      </c>
      <c r="N111" s="7"/>
      <c r="O111" s="12"/>
      <c r="P111" s="98"/>
      <c r="Q111" s="98"/>
      <c r="R111" s="98"/>
      <c r="S111" s="98"/>
      <c r="T111" s="3"/>
      <c r="U111" s="98"/>
      <c r="V111" s="98"/>
      <c r="W111" s="98"/>
      <c r="X111" s="98"/>
    </row>
    <row r="112" spans="2:24">
      <c r="B112" s="7"/>
      <c r="C112" s="7">
        <v>36</v>
      </c>
      <c r="D112" s="24">
        <f t="shared" si="8"/>
        <v>0</v>
      </c>
      <c r="E112" s="103">
        <f t="shared" si="4"/>
        <v>0</v>
      </c>
      <c r="F112" s="53">
        <v>0</v>
      </c>
      <c r="G112" s="24">
        <f t="shared" si="6"/>
        <v>0</v>
      </c>
      <c r="H112" s="15">
        <f>IF(G112&gt;0,0,IF(AND(H111=0,SUM(K112:L112)=0),0,IF(D112=0,PPMT(D$65/12,COUNTIF(D$76:D112,0),D$66,Primary_Loan_Amount),0)))</f>
        <v>-24121.876818556881</v>
      </c>
      <c r="I112" s="15">
        <f>-SUM(Primary_Loan_Amount)-SUM(H$76:H112)</f>
        <v>-23491056.982390366</v>
      </c>
      <c r="J112" s="24">
        <f t="shared" si="7"/>
        <v>0</v>
      </c>
      <c r="K112" s="51">
        <f>IF(L112=1,0,IF(SUM(K$81:K111)&gt;=Construction_Timeline,0,1))</f>
        <v>1</v>
      </c>
      <c r="L112" s="13">
        <f t="shared" si="9"/>
        <v>0</v>
      </c>
      <c r="M112" s="54">
        <f t="shared" si="5"/>
        <v>47119</v>
      </c>
      <c r="N112" s="7"/>
      <c r="O112" s="12"/>
      <c r="P112" s="98"/>
      <c r="Q112" s="98"/>
      <c r="R112" s="98"/>
      <c r="S112" s="98"/>
      <c r="T112" s="3"/>
      <c r="U112" s="98"/>
      <c r="V112" s="98"/>
      <c r="W112" s="98"/>
      <c r="X112" s="98"/>
    </row>
    <row r="113" spans="2:24">
      <c r="B113" s="7"/>
      <c r="C113" s="7">
        <v>37</v>
      </c>
      <c r="D113" s="24">
        <f t="shared" si="8"/>
        <v>0</v>
      </c>
      <c r="E113" s="103">
        <f t="shared" si="4"/>
        <v>0</v>
      </c>
      <c r="F113" s="53">
        <v>0</v>
      </c>
      <c r="G113" s="24">
        <f t="shared" si="6"/>
        <v>0</v>
      </c>
      <c r="H113" s="15">
        <f>IF(G113&gt;0,0,IF(AND(H112=0,SUM(K113:L113)=0),0,IF(D113=0,PPMT(D$65/12,COUNTIF(D$76:D113,0),D$66,Primary_Loan_Amount),0)))</f>
        <v>-24242.486202649659</v>
      </c>
      <c r="I113" s="15">
        <f>-SUM(Primary_Loan_Amount)-SUM(H$76:H113)</f>
        <v>-23466814.496187717</v>
      </c>
      <c r="J113" s="24">
        <f t="shared" si="7"/>
        <v>0</v>
      </c>
      <c r="K113" s="51">
        <f>IF(L113=1,0,IF(SUM(K$81:K112)&gt;=Construction_Timeline,0,1))</f>
        <v>1</v>
      </c>
      <c r="L113" s="13">
        <f t="shared" si="9"/>
        <v>0</v>
      </c>
      <c r="M113" s="54">
        <f t="shared" si="5"/>
        <v>47150</v>
      </c>
      <c r="N113" s="7"/>
      <c r="O113" s="12"/>
      <c r="P113" s="98"/>
      <c r="Q113" s="98"/>
      <c r="R113" s="98"/>
      <c r="S113" s="98"/>
      <c r="T113" s="3"/>
      <c r="U113" s="98"/>
      <c r="V113" s="98"/>
      <c r="W113" s="98"/>
      <c r="X113" s="98"/>
    </row>
    <row r="114" spans="2:24">
      <c r="B114" s="7"/>
      <c r="C114" s="7">
        <v>38</v>
      </c>
      <c r="D114" s="24">
        <f t="shared" si="8"/>
        <v>0</v>
      </c>
      <c r="E114" s="103">
        <f t="shared" si="4"/>
        <v>0</v>
      </c>
      <c r="F114" s="53">
        <v>0</v>
      </c>
      <c r="G114" s="24">
        <f t="shared" si="6"/>
        <v>0</v>
      </c>
      <c r="H114" s="15">
        <f>IF(G114&gt;0,0,IF(AND(H113=0,SUM(K114:L114)=0),0,IF(D114=0,PPMT(D$65/12,COUNTIF(D$76:D114,0),D$66,Primary_Loan_Amount),0)))</f>
        <v>-24363.698633662909</v>
      </c>
      <c r="I114" s="15">
        <f>-SUM(Primary_Loan_Amount)-SUM(H$76:H114)</f>
        <v>-23442450.797554053</v>
      </c>
      <c r="J114" s="24">
        <f t="shared" si="7"/>
        <v>0</v>
      </c>
      <c r="K114" s="51">
        <f>IF(L114=1,0,IF(SUM(K$81:K113)&gt;=Construction_Timeline,0,1))</f>
        <v>1</v>
      </c>
      <c r="L114" s="13">
        <f t="shared" si="9"/>
        <v>0</v>
      </c>
      <c r="M114" s="54">
        <f t="shared" si="5"/>
        <v>47178</v>
      </c>
      <c r="N114" s="7"/>
      <c r="O114" s="12"/>
      <c r="P114" s="98"/>
      <c r="Q114" s="98"/>
      <c r="R114" s="98"/>
      <c r="S114" s="98"/>
      <c r="T114" s="3"/>
      <c r="U114" s="98"/>
      <c r="V114" s="98"/>
      <c r="W114" s="98"/>
      <c r="X114" s="98"/>
    </row>
    <row r="115" spans="2:24">
      <c r="B115" s="7"/>
      <c r="C115" s="7">
        <v>39</v>
      </c>
      <c r="D115" s="24">
        <f t="shared" si="8"/>
        <v>0</v>
      </c>
      <c r="E115" s="103">
        <f t="shared" si="4"/>
        <v>0</v>
      </c>
      <c r="F115" s="53">
        <v>0</v>
      </c>
      <c r="G115" s="24">
        <f t="shared" si="6"/>
        <v>0</v>
      </c>
      <c r="H115" s="15">
        <f>IF(G115&gt;0,0,IF(AND(H114=0,SUM(K115:L115)=0),0,IF(D115=0,PPMT(D$65/12,COUNTIF(D$76:D115,0),D$66,Primary_Loan_Amount),0)))</f>
        <v>-24485.517126831226</v>
      </c>
      <c r="I115" s="15">
        <f>-SUM(Primary_Loan_Amount)-SUM(H$76:H115)</f>
        <v>-23417965.280427221</v>
      </c>
      <c r="J115" s="24">
        <f t="shared" si="7"/>
        <v>0</v>
      </c>
      <c r="K115" s="51">
        <f>IF(L115=1,0,IF(SUM(K$81:K114)&gt;=Construction_Timeline,0,1))</f>
        <v>1</v>
      </c>
      <c r="L115" s="13">
        <f t="shared" si="9"/>
        <v>0</v>
      </c>
      <c r="M115" s="54">
        <f t="shared" si="5"/>
        <v>47209</v>
      </c>
      <c r="N115" s="7"/>
      <c r="O115" s="12"/>
      <c r="P115" s="98"/>
      <c r="Q115" s="98"/>
      <c r="R115" s="98"/>
      <c r="S115" s="98"/>
      <c r="T115" s="3"/>
      <c r="U115" s="98"/>
      <c r="V115" s="98"/>
      <c r="W115" s="98"/>
      <c r="X115" s="98"/>
    </row>
    <row r="116" spans="2:24">
      <c r="B116" s="7"/>
      <c r="C116" s="7">
        <v>40</v>
      </c>
      <c r="D116" s="24">
        <f t="shared" si="8"/>
        <v>0</v>
      </c>
      <c r="E116" s="103">
        <f t="shared" si="4"/>
        <v>0</v>
      </c>
      <c r="F116" s="53">
        <v>0</v>
      </c>
      <c r="G116" s="24">
        <f t="shared" si="6"/>
        <v>0</v>
      </c>
      <c r="H116" s="15">
        <f>IF(G116&gt;0,0,IF(AND(H115=0,SUM(K116:L116)=0),0,IF(D116=0,PPMT(D$65/12,COUNTIF(D$76:D116,0),D$66,Primary_Loan_Amount),0)))</f>
        <v>-24607.944712465382</v>
      </c>
      <c r="I116" s="15">
        <f>-SUM(Primary_Loan_Amount)-SUM(H$76:H116)</f>
        <v>-23393357.335714757</v>
      </c>
      <c r="J116" s="24">
        <f t="shared" si="7"/>
        <v>0</v>
      </c>
      <c r="K116" s="51">
        <f>IF(L116=1,0,IF(SUM(K$81:K115)&gt;=Construction_Timeline,0,1))</f>
        <v>1</v>
      </c>
      <c r="L116" s="13">
        <f t="shared" si="9"/>
        <v>0</v>
      </c>
      <c r="M116" s="54">
        <f t="shared" si="5"/>
        <v>47239</v>
      </c>
      <c r="N116" s="7"/>
      <c r="O116" s="12"/>
      <c r="P116" s="98"/>
      <c r="Q116" s="98"/>
      <c r="R116" s="98"/>
      <c r="S116" s="98"/>
      <c r="T116" s="3"/>
      <c r="U116" s="98"/>
      <c r="V116" s="98"/>
      <c r="W116" s="98"/>
      <c r="X116" s="98"/>
    </row>
    <row r="117" spans="2:24">
      <c r="B117" s="7"/>
      <c r="C117" s="7">
        <v>41</v>
      </c>
      <c r="D117" s="24">
        <f t="shared" si="8"/>
        <v>0</v>
      </c>
      <c r="E117" s="103">
        <f t="shared" si="4"/>
        <v>0</v>
      </c>
      <c r="F117" s="53">
        <v>0</v>
      </c>
      <c r="G117" s="24">
        <f t="shared" si="6"/>
        <v>0</v>
      </c>
      <c r="H117" s="15">
        <f>IF(G117&gt;0,0,IF(AND(H116=0,SUM(K117:L117)=0),0,IF(D117=0,PPMT(D$65/12,COUNTIF(D$76:D117,0),D$66,Primary_Loan_Amount),0)))</f>
        <v>-24730.984436027709</v>
      </c>
      <c r="I117" s="15">
        <f>-SUM(Primary_Loan_Amount)-SUM(H$76:H117)</f>
        <v>-23368626.35127873</v>
      </c>
      <c r="J117" s="24">
        <f t="shared" si="7"/>
        <v>0</v>
      </c>
      <c r="K117" s="51">
        <f>IF(L117=1,0,IF(SUM(K$81:K116)&gt;=Construction_Timeline,0,1))</f>
        <v>1</v>
      </c>
      <c r="L117" s="13">
        <f t="shared" si="9"/>
        <v>0</v>
      </c>
      <c r="M117" s="54">
        <f t="shared" si="5"/>
        <v>47270</v>
      </c>
      <c r="N117" s="7"/>
      <c r="O117" s="12"/>
      <c r="P117" s="98"/>
      <c r="Q117" s="98"/>
      <c r="R117" s="98"/>
      <c r="S117" s="98"/>
      <c r="T117" s="3"/>
      <c r="U117" s="98"/>
      <c r="V117" s="98"/>
      <c r="W117" s="98"/>
      <c r="X117" s="98"/>
    </row>
    <row r="118" spans="2:24">
      <c r="B118" s="7"/>
      <c r="C118" s="7">
        <v>42</v>
      </c>
      <c r="D118" s="24">
        <f t="shared" si="8"/>
        <v>0</v>
      </c>
      <c r="E118" s="103">
        <f t="shared" si="4"/>
        <v>0</v>
      </c>
      <c r="F118" s="53">
        <v>0</v>
      </c>
      <c r="G118" s="24">
        <f t="shared" si="6"/>
        <v>0</v>
      </c>
      <c r="H118" s="15">
        <f>IF(G118&gt;0,0,IF(AND(H117=0,SUM(K118:L118)=0),0,IF(D118=0,PPMT(D$65/12,COUNTIF(D$76:D118,0),D$66,Primary_Loan_Amount),0)))</f>
        <v>-24854.639358207845</v>
      </c>
      <c r="I118" s="15">
        <f>-SUM(Primary_Loan_Amount)-SUM(H$76:H118)</f>
        <v>-23343771.711920522</v>
      </c>
      <c r="J118" s="24">
        <f t="shared" si="7"/>
        <v>0</v>
      </c>
      <c r="K118" s="51">
        <f>IF(L118=1,0,IF(SUM(K$81:K117)&gt;=Construction_Timeline,0,1))</f>
        <v>1</v>
      </c>
      <c r="L118" s="13">
        <f t="shared" si="9"/>
        <v>0</v>
      </c>
      <c r="M118" s="54">
        <f t="shared" si="5"/>
        <v>47300</v>
      </c>
      <c r="N118" s="7"/>
      <c r="O118" s="12"/>
      <c r="P118" s="98"/>
      <c r="Q118" s="98"/>
      <c r="R118" s="98"/>
      <c r="S118" s="98"/>
      <c r="T118" s="3"/>
      <c r="U118" s="98"/>
      <c r="V118" s="98"/>
      <c r="W118" s="98"/>
      <c r="X118" s="98"/>
    </row>
    <row r="119" spans="2:24">
      <c r="B119" s="7"/>
      <c r="C119" s="7">
        <v>43</v>
      </c>
      <c r="D119" s="24">
        <f t="shared" si="8"/>
        <v>0</v>
      </c>
      <c r="E119" s="103">
        <f t="shared" si="4"/>
        <v>0</v>
      </c>
      <c r="F119" s="53">
        <v>0</v>
      </c>
      <c r="G119" s="24">
        <f t="shared" si="6"/>
        <v>0</v>
      </c>
      <c r="H119" s="15">
        <f>IF(G119&gt;0,0,IF(AND(H118=0,SUM(K119:L119)=0),0,IF(D119=0,PPMT(D$65/12,COUNTIF(D$76:D119,0),D$66,Primary_Loan_Amount),0)))</f>
        <v>-24978.912554998886</v>
      </c>
      <c r="I119" s="15">
        <f>-SUM(Primary_Loan_Amount)-SUM(H$76:H119)</f>
        <v>-23318792.79936552</v>
      </c>
      <c r="J119" s="24">
        <f t="shared" si="7"/>
        <v>0</v>
      </c>
      <c r="K119" s="51">
        <f>IF(L119=1,0,IF(SUM(K$81:K118)&gt;=Construction_Timeline,0,1))</f>
        <v>0</v>
      </c>
      <c r="L119" s="13">
        <f t="shared" si="9"/>
        <v>0</v>
      </c>
      <c r="M119" s="54">
        <f t="shared" si="5"/>
        <v>47331</v>
      </c>
      <c r="N119" s="7"/>
      <c r="O119" s="12"/>
      <c r="P119" s="98"/>
      <c r="Q119" s="98"/>
      <c r="R119" s="98"/>
      <c r="S119" s="98"/>
      <c r="T119" s="3"/>
      <c r="U119" s="98"/>
      <c r="V119" s="98"/>
      <c r="W119" s="98"/>
      <c r="X119" s="98"/>
    </row>
    <row r="120" spans="2:24">
      <c r="B120" s="7"/>
      <c r="C120" s="7">
        <v>44</v>
      </c>
      <c r="D120" s="24">
        <f t="shared" si="8"/>
        <v>0</v>
      </c>
      <c r="E120" s="103">
        <f t="shared" si="4"/>
        <v>0</v>
      </c>
      <c r="F120" s="53">
        <v>0</v>
      </c>
      <c r="G120" s="24">
        <f t="shared" si="6"/>
        <v>0</v>
      </c>
      <c r="H120" s="15">
        <f>IF(G120&gt;0,0,IF(AND(H119=0,SUM(K120:L120)=0),0,IF(D120=0,PPMT(D$65/12,COUNTIF(D$76:D120,0),D$66,Primary_Loan_Amount),0)))</f>
        <v>-25103.807117773878</v>
      </c>
      <c r="I120" s="15">
        <f>-SUM(Primary_Loan_Amount)-SUM(H$76:H120)</f>
        <v>-23293688.992247749</v>
      </c>
      <c r="J120" s="24">
        <f t="shared" si="7"/>
        <v>0</v>
      </c>
      <c r="K120" s="51">
        <f>IF(L120=1,0,IF(SUM(K$81:K119)&gt;=Construction_Timeline,0,1))</f>
        <v>0</v>
      </c>
      <c r="L120" s="13">
        <f t="shared" si="9"/>
        <v>0</v>
      </c>
      <c r="M120" s="54">
        <f t="shared" si="5"/>
        <v>47362</v>
      </c>
      <c r="N120" s="7"/>
      <c r="O120" s="12"/>
      <c r="P120" s="98"/>
      <c r="Q120" s="98"/>
      <c r="R120" s="98"/>
      <c r="S120" s="98"/>
      <c r="T120" s="3"/>
      <c r="U120" s="98"/>
      <c r="V120" s="98"/>
      <c r="W120" s="98"/>
      <c r="X120" s="98"/>
    </row>
    <row r="121" spans="2:24">
      <c r="B121" s="7"/>
      <c r="C121" s="7">
        <v>45</v>
      </c>
      <c r="D121" s="24">
        <f t="shared" si="8"/>
        <v>0</v>
      </c>
      <c r="E121" s="103">
        <f t="shared" si="4"/>
        <v>0</v>
      </c>
      <c r="F121" s="53">
        <v>0</v>
      </c>
      <c r="G121" s="24">
        <f t="shared" si="6"/>
        <v>0</v>
      </c>
      <c r="H121" s="15">
        <f>IF(G121&gt;0,0,IF(AND(H120=0,SUM(K121:L121)=0),0,IF(D121=0,PPMT(D$65/12,COUNTIF(D$76:D121,0),D$66,Primary_Loan_Amount),0)))</f>
        <v>-25229.326153362752</v>
      </c>
      <c r="I121" s="15">
        <f>-SUM(Primary_Loan_Amount)-SUM(H$76:H121)</f>
        <v>-23268459.666094385</v>
      </c>
      <c r="J121" s="24">
        <f t="shared" si="7"/>
        <v>0</v>
      </c>
      <c r="K121" s="51">
        <f>IF(L121=1,0,IF(SUM(K$81:K120)&gt;=Construction_Timeline,0,1))</f>
        <v>0</v>
      </c>
      <c r="L121" s="13">
        <f t="shared" si="9"/>
        <v>0</v>
      </c>
      <c r="M121" s="54">
        <f t="shared" si="5"/>
        <v>47392</v>
      </c>
      <c r="N121" s="7"/>
      <c r="O121" s="12"/>
      <c r="P121" s="98"/>
      <c r="Q121" s="98"/>
      <c r="R121" s="98"/>
      <c r="S121" s="98"/>
      <c r="T121" s="3"/>
      <c r="U121" s="98"/>
      <c r="V121" s="98"/>
      <c r="W121" s="98"/>
      <c r="X121" s="98"/>
    </row>
    <row r="122" spans="2:24">
      <c r="B122" s="7"/>
      <c r="C122" s="7">
        <v>46</v>
      </c>
      <c r="D122" s="24">
        <f t="shared" si="8"/>
        <v>0</v>
      </c>
      <c r="E122" s="103">
        <f t="shared" si="4"/>
        <v>0</v>
      </c>
      <c r="F122" s="53">
        <v>0</v>
      </c>
      <c r="G122" s="24">
        <f t="shared" si="6"/>
        <v>0</v>
      </c>
      <c r="H122" s="15">
        <f>IF(G122&gt;0,0,IF(AND(H121=0,SUM(K122:L122)=0),0,IF(D122=0,PPMT(D$65/12,COUNTIF(D$76:D122,0),D$66,Primary_Loan_Amount),0)))</f>
        <v>-25355.472784129557</v>
      </c>
      <c r="I122" s="15">
        <f>-SUM(Primary_Loan_Amount)-SUM(H$76:H122)</f>
        <v>-23243104.193310257</v>
      </c>
      <c r="J122" s="24">
        <f t="shared" si="7"/>
        <v>0</v>
      </c>
      <c r="K122" s="51">
        <f>IF(L122=1,0,IF(SUM(K$81:K121)&gt;=Construction_Timeline,0,1))</f>
        <v>0</v>
      </c>
      <c r="L122" s="13">
        <f t="shared" si="9"/>
        <v>0</v>
      </c>
      <c r="M122" s="54">
        <f t="shared" si="5"/>
        <v>47423</v>
      </c>
      <c r="N122" s="7"/>
      <c r="O122" s="12"/>
      <c r="P122" s="98"/>
      <c r="Q122" s="98"/>
      <c r="R122" s="98"/>
      <c r="S122" s="98"/>
      <c r="T122" s="3"/>
      <c r="U122" s="98"/>
      <c r="V122" s="98"/>
      <c r="W122" s="98"/>
      <c r="X122" s="98"/>
    </row>
    <row r="123" spans="2:24">
      <c r="B123" s="7"/>
      <c r="C123" s="7">
        <v>47</v>
      </c>
      <c r="D123" s="24">
        <f t="shared" si="8"/>
        <v>0</v>
      </c>
      <c r="E123" s="103">
        <f t="shared" si="4"/>
        <v>0</v>
      </c>
      <c r="F123" s="53">
        <v>0</v>
      </c>
      <c r="G123" s="24">
        <f t="shared" si="6"/>
        <v>0</v>
      </c>
      <c r="H123" s="15">
        <f>IF(G123&gt;0,0,IF(AND(H122=0,SUM(K123:L123)=0),0,IF(D123=0,PPMT(D$65/12,COUNTIF(D$76:D123,0),D$66,Primary_Loan_Amount),0)))</f>
        <v>-25482.250148050214</v>
      </c>
      <c r="I123" s="15">
        <f>-SUM(Primary_Loan_Amount)-SUM(H$76:H123)</f>
        <v>-23217621.943162207</v>
      </c>
      <c r="J123" s="24">
        <f t="shared" si="7"/>
        <v>0</v>
      </c>
      <c r="K123" s="51">
        <f>IF(L123=1,0,IF(SUM(K$81:K122)&gt;=Construction_Timeline,0,1))</f>
        <v>0</v>
      </c>
      <c r="L123" s="13">
        <f t="shared" si="9"/>
        <v>0</v>
      </c>
      <c r="M123" s="54">
        <f t="shared" si="5"/>
        <v>47453</v>
      </c>
      <c r="N123" s="7"/>
      <c r="O123" s="12"/>
      <c r="P123" s="98"/>
      <c r="Q123" s="98"/>
      <c r="R123" s="98"/>
      <c r="S123" s="98"/>
      <c r="T123" s="3"/>
      <c r="U123" s="98"/>
      <c r="V123" s="98"/>
      <c r="W123" s="98"/>
      <c r="X123" s="98"/>
    </row>
    <row r="124" spans="2:24">
      <c r="B124" s="7"/>
      <c r="C124" s="7">
        <v>48</v>
      </c>
      <c r="D124" s="24">
        <f t="shared" si="8"/>
        <v>0</v>
      </c>
      <c r="E124" s="103">
        <f t="shared" si="4"/>
        <v>0</v>
      </c>
      <c r="F124" s="53">
        <v>0</v>
      </c>
      <c r="G124" s="24">
        <f t="shared" si="6"/>
        <v>43650000</v>
      </c>
      <c r="H124" s="15">
        <f>IF(G124&gt;0,0,IF(AND(H123=0,SUM(K124:L124)=0),0,IF(D124=0,PPMT(D$65/12,COUNTIF(D$76:D124,0),D$66,Primary_Loan_Amount),0)))</f>
        <v>0</v>
      </c>
      <c r="I124" s="15">
        <f>-SUM(Primary_Loan_Amount)-SUM(H$76:H124)</f>
        <v>-23217621.943162207</v>
      </c>
      <c r="J124" s="24">
        <f t="shared" si="7"/>
        <v>20432378.056837793</v>
      </c>
      <c r="K124" s="51">
        <f>IF(L124=1,0,IF(SUM(K$81:K123)&gt;=Construction_Timeline,0,1))</f>
        <v>0</v>
      </c>
      <c r="L124" s="13">
        <f t="shared" si="9"/>
        <v>0</v>
      </c>
      <c r="M124" s="54">
        <f t="shared" si="5"/>
        <v>47484</v>
      </c>
      <c r="N124" s="7"/>
      <c r="O124" s="12"/>
      <c r="P124" s="98"/>
      <c r="Q124" s="98"/>
      <c r="R124" s="98"/>
      <c r="S124" s="98"/>
      <c r="T124" s="3"/>
      <c r="U124" s="98"/>
      <c r="V124" s="98"/>
      <c r="W124" s="98"/>
      <c r="X124" s="98"/>
    </row>
    <row r="125" spans="2:24">
      <c r="B125" s="7"/>
      <c r="C125" s="7">
        <v>49</v>
      </c>
      <c r="D125" s="24">
        <f t="shared" si="8"/>
        <v>0</v>
      </c>
      <c r="E125" s="103">
        <f t="shared" si="4"/>
        <v>0</v>
      </c>
      <c r="F125" s="53">
        <v>0</v>
      </c>
      <c r="G125" s="24">
        <f t="shared" si="6"/>
        <v>0</v>
      </c>
      <c r="H125" s="15">
        <f>IF(G125&gt;0,0,IF(AND(H124=0,SUM(K125:L125)=0),0,IF(D125=0,PPMT(D$65/12,COUNTIF(D$76:D125,0),D$66,Primary_Loan_Amount),0)))</f>
        <v>0</v>
      </c>
      <c r="I125" s="15">
        <f>-SUM(Primary_Loan_Amount)-SUM(H$76:H125)</f>
        <v>-23217621.943162207</v>
      </c>
      <c r="J125" s="24">
        <f t="shared" si="7"/>
        <v>0</v>
      </c>
      <c r="K125" s="51">
        <f>IF(L125=1,0,IF(SUM(K$81:K124)&gt;=Construction_Timeline,0,1))</f>
        <v>0</v>
      </c>
      <c r="L125" s="13">
        <f t="shared" si="9"/>
        <v>0</v>
      </c>
      <c r="M125" s="54">
        <f t="shared" si="5"/>
        <v>47515</v>
      </c>
      <c r="N125" s="7"/>
      <c r="O125" s="12"/>
      <c r="P125" s="98"/>
      <c r="Q125" s="98"/>
      <c r="R125" s="98"/>
      <c r="S125" s="98"/>
      <c r="T125" s="3"/>
      <c r="U125" s="98"/>
      <c r="V125" s="98"/>
      <c r="W125" s="98"/>
      <c r="X125" s="98"/>
    </row>
    <row r="126" spans="2:24">
      <c r="B126" s="7"/>
      <c r="C126" s="7">
        <v>50</v>
      </c>
      <c r="D126" s="24">
        <f t="shared" si="8"/>
        <v>0</v>
      </c>
      <c r="E126" s="103">
        <f t="shared" si="4"/>
        <v>0</v>
      </c>
      <c r="F126" s="53">
        <v>0</v>
      </c>
      <c r="G126" s="24">
        <f t="shared" si="6"/>
        <v>0</v>
      </c>
      <c r="H126" s="15">
        <f>IF(G126&gt;0,0,IF(AND(H125=0,SUM(K126:L126)=0),0,IF(D126=0,PPMT(D$65/12,COUNTIF(D$76:D126,0),D$66,Primary_Loan_Amount),0)))</f>
        <v>0</v>
      </c>
      <c r="I126" s="15">
        <f>-SUM(Primary_Loan_Amount)-SUM(H$76:H126)</f>
        <v>-23217621.943162207</v>
      </c>
      <c r="J126" s="24">
        <f t="shared" si="7"/>
        <v>0</v>
      </c>
      <c r="K126" s="51">
        <f>IF(L126=1,0,IF(SUM(K$81:K125)&gt;=Construction_Timeline,0,1))</f>
        <v>0</v>
      </c>
      <c r="L126" s="13">
        <f t="shared" si="9"/>
        <v>0</v>
      </c>
      <c r="M126" s="54">
        <f t="shared" si="5"/>
        <v>47543</v>
      </c>
      <c r="N126" s="7"/>
      <c r="O126" s="12"/>
      <c r="P126" s="98"/>
      <c r="Q126" s="98"/>
      <c r="R126" s="98"/>
      <c r="S126" s="98"/>
      <c r="T126" s="3"/>
      <c r="U126" s="98"/>
      <c r="V126" s="98"/>
      <c r="W126" s="98"/>
      <c r="X126" s="98"/>
    </row>
    <row r="127" spans="2:24">
      <c r="B127" s="7"/>
      <c r="C127" s="7">
        <v>51</v>
      </c>
      <c r="D127" s="24">
        <f t="shared" si="8"/>
        <v>0</v>
      </c>
      <c r="E127" s="103">
        <f t="shared" si="4"/>
        <v>0</v>
      </c>
      <c r="F127" s="53">
        <v>0</v>
      </c>
      <c r="G127" s="24">
        <f t="shared" si="6"/>
        <v>0</v>
      </c>
      <c r="H127" s="15">
        <f>IF(G127&gt;0,0,IF(AND(H126=0,SUM(K127:L127)=0),0,IF(D127=0,PPMT(D$65/12,COUNTIF(D$76:D127,0),D$66,Primary_Loan_Amount),0)))</f>
        <v>0</v>
      </c>
      <c r="I127" s="15">
        <f>-SUM(Primary_Loan_Amount)-SUM(H$76:H127)</f>
        <v>-23217621.943162207</v>
      </c>
      <c r="J127" s="24">
        <f t="shared" si="7"/>
        <v>0</v>
      </c>
      <c r="K127" s="51">
        <f>IF(L127=1,0,IF(SUM(K$81:K126)&gt;=Construction_Timeline,0,1))</f>
        <v>0</v>
      </c>
      <c r="L127" s="13">
        <f t="shared" si="9"/>
        <v>0</v>
      </c>
      <c r="M127" s="54">
        <f t="shared" si="5"/>
        <v>47574</v>
      </c>
      <c r="N127" s="7"/>
      <c r="O127" s="12"/>
      <c r="P127" s="98"/>
      <c r="Q127" s="98"/>
      <c r="R127" s="98"/>
      <c r="S127" s="98"/>
      <c r="T127" s="3"/>
      <c r="U127" s="98"/>
      <c r="V127" s="98"/>
      <c r="W127" s="98"/>
      <c r="X127" s="98"/>
    </row>
    <row r="128" spans="2:24">
      <c r="B128" s="7"/>
      <c r="C128" s="7">
        <v>52</v>
      </c>
      <c r="D128" s="24">
        <f t="shared" si="8"/>
        <v>0</v>
      </c>
      <c r="E128" s="103">
        <f t="shared" si="4"/>
        <v>0</v>
      </c>
      <c r="F128" s="53">
        <v>0</v>
      </c>
      <c r="G128" s="24">
        <f t="shared" si="6"/>
        <v>0</v>
      </c>
      <c r="H128" s="15">
        <f>IF(G128&gt;0,0,IF(AND(H127=0,SUM(K128:L128)=0),0,IF(D128=0,PPMT(D$65/12,COUNTIF(D$76:D128,0),D$66,Primary_Loan_Amount),0)))</f>
        <v>0</v>
      </c>
      <c r="I128" s="15">
        <f>-SUM(Primary_Loan_Amount)-SUM(H$76:H128)</f>
        <v>-23217621.943162207</v>
      </c>
      <c r="J128" s="24">
        <f t="shared" si="7"/>
        <v>0</v>
      </c>
      <c r="K128" s="51">
        <f>IF(L128=1,0,IF(SUM(K$81:K127)&gt;=Construction_Timeline,0,1))</f>
        <v>0</v>
      </c>
      <c r="L128" s="13">
        <f t="shared" si="9"/>
        <v>0</v>
      </c>
      <c r="M128" s="54">
        <f t="shared" si="5"/>
        <v>47604</v>
      </c>
      <c r="N128" s="7"/>
      <c r="O128" s="12"/>
      <c r="P128" s="98"/>
      <c r="Q128" s="98"/>
      <c r="R128" s="98"/>
      <c r="S128" s="98"/>
      <c r="T128" s="3"/>
      <c r="U128" s="98"/>
      <c r="V128" s="98"/>
      <c r="W128" s="98"/>
      <c r="X128" s="98"/>
    </row>
    <row r="129" spans="2:24">
      <c r="B129" s="7"/>
      <c r="C129" s="7">
        <v>53</v>
      </c>
      <c r="D129" s="24">
        <f t="shared" si="8"/>
        <v>0</v>
      </c>
      <c r="E129" s="103">
        <f t="shared" si="4"/>
        <v>0</v>
      </c>
      <c r="F129" s="53">
        <v>0</v>
      </c>
      <c r="G129" s="24">
        <f t="shared" si="6"/>
        <v>0</v>
      </c>
      <c r="H129" s="15">
        <f>IF(G129&gt;0,0,IF(AND(H128=0,SUM(K129:L129)=0),0,IF(D129=0,PPMT(D$65/12,COUNTIF(D$76:D129,0),D$66,Primary_Loan_Amount),0)))</f>
        <v>0</v>
      </c>
      <c r="I129" s="15">
        <f>-SUM(Primary_Loan_Amount)-SUM(H$76:H129)</f>
        <v>-23217621.943162207</v>
      </c>
      <c r="J129" s="24">
        <f t="shared" si="7"/>
        <v>0</v>
      </c>
      <c r="K129" s="51">
        <f>IF(L129=1,0,IF(SUM(K$81:K128)&gt;=Construction_Timeline,0,1))</f>
        <v>0</v>
      </c>
      <c r="L129" s="13">
        <f t="shared" si="9"/>
        <v>0</v>
      </c>
      <c r="M129" s="54">
        <f t="shared" si="5"/>
        <v>47635</v>
      </c>
      <c r="N129" s="7"/>
      <c r="O129" s="12"/>
      <c r="P129" s="98"/>
      <c r="Q129" s="98"/>
      <c r="R129" s="98"/>
      <c r="S129" s="98"/>
      <c r="T129" s="3"/>
      <c r="U129" s="98"/>
      <c r="V129" s="98"/>
      <c r="W129" s="98"/>
      <c r="X129" s="98"/>
    </row>
    <row r="130" spans="2:24">
      <c r="B130" s="7"/>
      <c r="C130" s="7">
        <v>54</v>
      </c>
      <c r="D130" s="24">
        <f t="shared" si="8"/>
        <v>0</v>
      </c>
      <c r="E130" s="103">
        <f t="shared" si="4"/>
        <v>0</v>
      </c>
      <c r="F130" s="53">
        <v>0</v>
      </c>
      <c r="G130" s="24">
        <f t="shared" si="6"/>
        <v>0</v>
      </c>
      <c r="H130" s="15">
        <f>IF(G130&gt;0,0,IF(AND(H129=0,SUM(K130:L130)=0),0,IF(D130=0,PPMT(D$65/12,COUNTIF(D$76:D130,0),D$66,Primary_Loan_Amount),0)))</f>
        <v>0</v>
      </c>
      <c r="I130" s="15">
        <f>-SUM(Primary_Loan_Amount)-SUM(H$76:H130)</f>
        <v>-23217621.943162207</v>
      </c>
      <c r="J130" s="24">
        <f t="shared" si="7"/>
        <v>0</v>
      </c>
      <c r="K130" s="51">
        <f>IF(L130=1,0,IF(SUM(K$81:K129)&gt;=Construction_Timeline,0,1))</f>
        <v>0</v>
      </c>
      <c r="L130" s="13">
        <f t="shared" si="9"/>
        <v>0</v>
      </c>
      <c r="M130" s="54">
        <f t="shared" si="5"/>
        <v>47665</v>
      </c>
      <c r="N130" s="7"/>
      <c r="O130" s="12"/>
      <c r="P130" s="98"/>
      <c r="Q130" s="98"/>
      <c r="R130" s="98"/>
      <c r="S130" s="98"/>
      <c r="T130" s="3"/>
      <c r="U130" s="98"/>
      <c r="V130" s="98"/>
      <c r="W130" s="98"/>
      <c r="X130" s="98"/>
    </row>
    <row r="131" spans="2:24">
      <c r="B131" s="7"/>
      <c r="C131" s="7">
        <v>55</v>
      </c>
      <c r="D131" s="24">
        <f t="shared" si="8"/>
        <v>0</v>
      </c>
      <c r="E131" s="103">
        <f t="shared" si="4"/>
        <v>0</v>
      </c>
      <c r="F131" s="53">
        <v>0</v>
      </c>
      <c r="G131" s="24">
        <f t="shared" si="6"/>
        <v>0</v>
      </c>
      <c r="H131" s="15">
        <f>IF(G131&gt;0,0,IF(AND(H130=0,SUM(K131:L131)=0),0,IF(D131=0,PPMT(D$65/12,COUNTIF(D$76:D131,0),D$66,Primary_Loan_Amount),0)))</f>
        <v>0</v>
      </c>
      <c r="I131" s="15">
        <f>-SUM(Primary_Loan_Amount)-SUM(H$76:H131)</f>
        <v>-23217621.943162207</v>
      </c>
      <c r="J131" s="24">
        <f t="shared" si="7"/>
        <v>0</v>
      </c>
      <c r="K131" s="51">
        <f>IF(L131=1,0,IF(SUM(K$81:K130)&gt;=Construction_Timeline,0,1))</f>
        <v>0</v>
      </c>
      <c r="L131" s="13">
        <f t="shared" si="9"/>
        <v>0</v>
      </c>
      <c r="M131" s="54">
        <f t="shared" si="5"/>
        <v>47696</v>
      </c>
      <c r="N131" s="7"/>
      <c r="O131" s="12"/>
      <c r="P131" s="98"/>
      <c r="Q131" s="98"/>
      <c r="R131" s="98"/>
      <c r="S131" s="98"/>
      <c r="T131" s="3"/>
      <c r="U131" s="98"/>
      <c r="V131" s="98"/>
      <c r="W131" s="98"/>
      <c r="X131" s="98"/>
    </row>
    <row r="132" spans="2:24">
      <c r="B132" s="7"/>
      <c r="C132" s="7">
        <v>56</v>
      </c>
      <c r="D132" s="24">
        <f t="shared" si="8"/>
        <v>0</v>
      </c>
      <c r="E132" s="103">
        <f t="shared" si="4"/>
        <v>0</v>
      </c>
      <c r="F132" s="53">
        <v>0</v>
      </c>
      <c r="G132" s="24">
        <f t="shared" si="6"/>
        <v>0</v>
      </c>
      <c r="H132" s="15">
        <f>IF(G132&gt;0,0,IF(AND(H131=0,SUM(K132:L132)=0),0,IF(D132=0,PPMT(D$65/12,COUNTIF(D$76:D132,0),D$66,Primary_Loan_Amount),0)))</f>
        <v>0</v>
      </c>
      <c r="I132" s="15">
        <f>-SUM(Primary_Loan_Amount)-SUM(H$76:H132)</f>
        <v>-23217621.943162207</v>
      </c>
      <c r="J132" s="24">
        <f t="shared" si="7"/>
        <v>0</v>
      </c>
      <c r="K132" s="51">
        <f>IF(L132=1,0,IF(SUM(K$81:K131)&gt;=Construction_Timeline,0,1))</f>
        <v>0</v>
      </c>
      <c r="L132" s="13">
        <f t="shared" si="9"/>
        <v>0</v>
      </c>
      <c r="M132" s="54">
        <f t="shared" si="5"/>
        <v>47727</v>
      </c>
      <c r="N132" s="7"/>
      <c r="O132" s="12"/>
      <c r="P132" s="98"/>
      <c r="Q132" s="98"/>
      <c r="R132" s="98"/>
      <c r="S132" s="98"/>
      <c r="T132" s="3"/>
      <c r="U132" s="98"/>
      <c r="V132" s="98"/>
      <c r="W132" s="98"/>
      <c r="X132" s="98"/>
    </row>
    <row r="133" spans="2:24">
      <c r="B133" s="7"/>
      <c r="C133" s="7">
        <v>57</v>
      </c>
      <c r="D133" s="24">
        <f t="shared" si="8"/>
        <v>0</v>
      </c>
      <c r="E133" s="103">
        <f t="shared" si="4"/>
        <v>0</v>
      </c>
      <c r="F133" s="53">
        <v>0</v>
      </c>
      <c r="G133" s="24">
        <f t="shared" si="6"/>
        <v>0</v>
      </c>
      <c r="H133" s="15">
        <f>IF(G133&gt;0,0,IF(AND(H132=0,SUM(K133:L133)=0),0,IF(D133=0,PPMT(D$65/12,COUNTIF(D$76:D133,0),D$66,Primary_Loan_Amount),0)))</f>
        <v>0</v>
      </c>
      <c r="I133" s="15">
        <f>-SUM(Primary_Loan_Amount)-SUM(H$76:H133)</f>
        <v>-23217621.943162207</v>
      </c>
      <c r="J133" s="24">
        <f t="shared" si="7"/>
        <v>0</v>
      </c>
      <c r="K133" s="51">
        <f>IF(L133=1,0,IF(SUM(K$81:K132)&gt;=Construction_Timeline,0,1))</f>
        <v>0</v>
      </c>
      <c r="L133" s="13">
        <f t="shared" si="9"/>
        <v>0</v>
      </c>
      <c r="M133" s="54">
        <f t="shared" si="5"/>
        <v>47757</v>
      </c>
      <c r="N133" s="7"/>
      <c r="O133" s="12"/>
      <c r="P133" s="98"/>
      <c r="Q133" s="98"/>
      <c r="R133" s="98"/>
      <c r="S133" s="98"/>
      <c r="T133" s="3"/>
      <c r="U133" s="98"/>
      <c r="V133" s="98"/>
      <c r="W133" s="98"/>
      <c r="X133" s="98"/>
    </row>
    <row r="134" spans="2:24">
      <c r="B134" s="7"/>
      <c r="C134" s="7">
        <v>58</v>
      </c>
      <c r="D134" s="24">
        <f t="shared" si="8"/>
        <v>0</v>
      </c>
      <c r="E134" s="103">
        <f t="shared" si="4"/>
        <v>0</v>
      </c>
      <c r="F134" s="53">
        <v>0</v>
      </c>
      <c r="G134" s="24">
        <f t="shared" si="6"/>
        <v>0</v>
      </c>
      <c r="H134" s="15">
        <f>IF(G134&gt;0,0,IF(AND(H133=0,SUM(K134:L134)=0),0,IF(D134=0,PPMT(D$65/12,COUNTIF(D$76:D134,0),D$66,Primary_Loan_Amount),0)))</f>
        <v>0</v>
      </c>
      <c r="I134" s="15">
        <f>-SUM(Primary_Loan_Amount)-SUM(H$76:H134)</f>
        <v>-23217621.943162207</v>
      </c>
      <c r="J134" s="24">
        <f t="shared" si="7"/>
        <v>0</v>
      </c>
      <c r="K134" s="51">
        <f>IF(L134=1,0,IF(SUM(K$81:K133)&gt;=Construction_Timeline,0,1))</f>
        <v>0</v>
      </c>
      <c r="L134" s="13">
        <f t="shared" si="9"/>
        <v>0</v>
      </c>
      <c r="M134" s="54">
        <f t="shared" si="5"/>
        <v>47788</v>
      </c>
      <c r="N134" s="7"/>
      <c r="O134" s="12"/>
      <c r="P134" s="98"/>
      <c r="Q134" s="98"/>
      <c r="R134" s="98"/>
      <c r="S134" s="98"/>
      <c r="T134" s="3"/>
      <c r="U134" s="98"/>
      <c r="V134" s="98"/>
      <c r="W134" s="98"/>
      <c r="X134" s="98"/>
    </row>
    <row r="135" spans="2:24">
      <c r="B135" s="7"/>
      <c r="C135" s="7">
        <v>59</v>
      </c>
      <c r="D135" s="24">
        <f t="shared" si="8"/>
        <v>0</v>
      </c>
      <c r="E135" s="103">
        <f t="shared" si="4"/>
        <v>0</v>
      </c>
      <c r="F135" s="53">
        <v>0</v>
      </c>
      <c r="G135" s="24">
        <f t="shared" si="6"/>
        <v>0</v>
      </c>
      <c r="H135" s="15">
        <f>IF(G135&gt;0,0,IF(AND(H134=0,SUM(K135:L135)=0),0,IF(D135=0,PPMT(D$65/12,COUNTIF(D$76:D135,0),D$66,Primary_Loan_Amount),0)))</f>
        <v>0</v>
      </c>
      <c r="I135" s="15">
        <f>-SUM(Primary_Loan_Amount)-SUM(H$76:H135)</f>
        <v>-23217621.943162207</v>
      </c>
      <c r="J135" s="24">
        <f t="shared" si="7"/>
        <v>0</v>
      </c>
      <c r="K135" s="51">
        <f>IF(L135=1,0,IF(SUM(K$81:K134)&gt;=Construction_Timeline,0,1))</f>
        <v>0</v>
      </c>
      <c r="L135" s="13">
        <f t="shared" si="9"/>
        <v>0</v>
      </c>
      <c r="M135" s="54">
        <f t="shared" si="5"/>
        <v>47818</v>
      </c>
      <c r="N135" s="7"/>
      <c r="O135" s="12"/>
      <c r="P135" s="98"/>
      <c r="Q135" s="98"/>
      <c r="R135" s="98"/>
      <c r="S135" s="98"/>
      <c r="T135" s="3"/>
      <c r="U135" s="98"/>
      <c r="V135" s="98"/>
      <c r="W135" s="98"/>
      <c r="X135" s="98"/>
    </row>
    <row r="136" spans="2:24">
      <c r="B136" s="7"/>
      <c r="C136" s="7">
        <v>60</v>
      </c>
      <c r="D136" s="24">
        <f t="shared" si="8"/>
        <v>0</v>
      </c>
      <c r="E136" s="103">
        <f t="shared" si="4"/>
        <v>0</v>
      </c>
      <c r="F136" s="53">
        <v>0</v>
      </c>
      <c r="G136" s="24">
        <f t="shared" si="6"/>
        <v>0</v>
      </c>
      <c r="H136" s="15">
        <f>IF(G136&gt;0,0,IF(AND(H135=0,SUM(K136:L136)=0),0,IF(D136=0,PPMT(D$65/12,COUNTIF(D$76:D136,0),D$66,Primary_Loan_Amount),0)))</f>
        <v>0</v>
      </c>
      <c r="I136" s="15">
        <f>-SUM(Primary_Loan_Amount)-SUM(H$76:H136)</f>
        <v>-23217621.943162207</v>
      </c>
      <c r="J136" s="24">
        <f t="shared" si="7"/>
        <v>0</v>
      </c>
      <c r="K136" s="51">
        <f>IF(L136=1,0,IF(SUM(K$81:K135)&gt;=Construction_Timeline,0,1))</f>
        <v>0</v>
      </c>
      <c r="L136" s="13">
        <f t="shared" si="9"/>
        <v>0</v>
      </c>
      <c r="M136" s="54">
        <f t="shared" si="5"/>
        <v>47849</v>
      </c>
      <c r="N136" s="7"/>
      <c r="O136" s="12"/>
      <c r="P136" s="98"/>
      <c r="Q136" s="98"/>
      <c r="R136" s="98"/>
      <c r="S136" s="98"/>
      <c r="T136" s="3"/>
      <c r="U136" s="98"/>
      <c r="V136" s="98"/>
      <c r="W136" s="98"/>
      <c r="X136" s="98"/>
    </row>
    <row r="137" spans="2:24">
      <c r="B137" s="7"/>
      <c r="C137" s="7">
        <v>61</v>
      </c>
      <c r="D137" s="24">
        <f t="shared" si="8"/>
        <v>0</v>
      </c>
      <c r="E137" s="103">
        <f t="shared" si="4"/>
        <v>0</v>
      </c>
      <c r="F137" s="53">
        <v>0</v>
      </c>
      <c r="G137" s="24">
        <f t="shared" si="6"/>
        <v>0</v>
      </c>
      <c r="H137" s="15">
        <f>IF(G137&gt;0,0,IF(AND(H136=0,SUM(K137:L137)=0),0,IF(D137=0,PPMT(D$65/12,COUNTIF(D$76:D137,0),D$66,Primary_Loan_Amount),0)))</f>
        <v>0</v>
      </c>
      <c r="I137" s="15">
        <f>-SUM(Primary_Loan_Amount)-SUM(H$76:H137)</f>
        <v>-23217621.943162207</v>
      </c>
      <c r="J137" s="24">
        <f t="shared" si="7"/>
        <v>0</v>
      </c>
      <c r="K137" s="51">
        <f>IF(L137=1,0,IF(SUM(K$81:K136)&gt;=Construction_Timeline,0,1))</f>
        <v>0</v>
      </c>
      <c r="L137" s="13">
        <f t="shared" si="9"/>
        <v>0</v>
      </c>
      <c r="M137" s="54">
        <f t="shared" si="5"/>
        <v>47880</v>
      </c>
      <c r="N137" s="7"/>
      <c r="O137" s="12"/>
      <c r="P137" s="98"/>
      <c r="Q137" s="98"/>
      <c r="R137" s="98"/>
      <c r="S137" s="98"/>
      <c r="T137" s="3"/>
      <c r="U137" s="98"/>
      <c r="V137" s="98"/>
      <c r="W137" s="98"/>
      <c r="X137" s="98"/>
    </row>
    <row r="138" spans="2:24">
      <c r="B138" s="7"/>
      <c r="C138" s="7">
        <v>62</v>
      </c>
      <c r="D138" s="24">
        <f t="shared" si="8"/>
        <v>0</v>
      </c>
      <c r="E138" s="103">
        <f t="shared" si="4"/>
        <v>0</v>
      </c>
      <c r="F138" s="53">
        <v>0</v>
      </c>
      <c r="G138" s="24">
        <f t="shared" si="6"/>
        <v>0</v>
      </c>
      <c r="H138" s="15">
        <f>IF(G138&gt;0,0,IF(AND(H137=0,SUM(K138:L138)=0),0,IF(D138=0,PPMT(D$65/12,COUNTIF(D$76:D138,0),D$66,Primary_Loan_Amount),0)))</f>
        <v>0</v>
      </c>
      <c r="I138" s="15">
        <f>-SUM(Primary_Loan_Amount)-SUM(H$76:H138)</f>
        <v>-23217621.943162207</v>
      </c>
      <c r="J138" s="24">
        <f t="shared" si="7"/>
        <v>0</v>
      </c>
      <c r="K138" s="51">
        <f>IF(L138=1,0,IF(SUM(K$81:K137)&gt;=Construction_Timeline,0,1))</f>
        <v>0</v>
      </c>
      <c r="L138" s="13">
        <f t="shared" si="9"/>
        <v>0</v>
      </c>
      <c r="M138" s="54">
        <f t="shared" si="5"/>
        <v>47908</v>
      </c>
      <c r="N138" s="7"/>
      <c r="O138" s="12"/>
      <c r="P138" s="98"/>
      <c r="Q138" s="98"/>
      <c r="R138" s="98"/>
      <c r="S138" s="98"/>
      <c r="T138" s="3"/>
      <c r="U138" s="98"/>
      <c r="V138" s="98"/>
      <c r="W138" s="98"/>
      <c r="X138" s="98"/>
    </row>
    <row r="139" spans="2:24">
      <c r="B139" s="7"/>
      <c r="C139" s="7">
        <v>63</v>
      </c>
      <c r="D139" s="24">
        <f t="shared" si="8"/>
        <v>0</v>
      </c>
      <c r="E139" s="103">
        <f t="shared" si="4"/>
        <v>0</v>
      </c>
      <c r="F139" s="53">
        <v>0</v>
      </c>
      <c r="G139" s="24">
        <f t="shared" si="6"/>
        <v>0</v>
      </c>
      <c r="H139" s="15">
        <f>IF(G139&gt;0,0,IF(AND(H138=0,SUM(K139:L139)=0),0,IF(D139=0,PPMT(D$65/12,COUNTIF(D$76:D139,0),D$66,Primary_Loan_Amount),0)))</f>
        <v>0</v>
      </c>
      <c r="I139" s="15">
        <f>-SUM(Primary_Loan_Amount)-SUM(H$76:H139)</f>
        <v>-23217621.943162207</v>
      </c>
      <c r="J139" s="24">
        <f t="shared" si="7"/>
        <v>0</v>
      </c>
      <c r="K139" s="51">
        <f>IF(L139=1,0,IF(SUM(K$81:K138)&gt;=Construction_Timeline,0,1))</f>
        <v>0</v>
      </c>
      <c r="L139" s="13">
        <f t="shared" si="9"/>
        <v>0</v>
      </c>
      <c r="M139" s="54">
        <f t="shared" si="5"/>
        <v>47939</v>
      </c>
      <c r="N139" s="7"/>
      <c r="O139" s="12"/>
      <c r="P139" s="98"/>
      <c r="Q139" s="98"/>
      <c r="R139" s="98"/>
      <c r="S139" s="98"/>
      <c r="T139" s="3"/>
      <c r="U139" s="98"/>
      <c r="V139" s="98"/>
      <c r="W139" s="98"/>
      <c r="X139" s="98"/>
    </row>
    <row r="140" spans="2:24">
      <c r="B140" s="7"/>
      <c r="C140" s="7">
        <v>64</v>
      </c>
      <c r="D140" s="24">
        <f t="shared" si="8"/>
        <v>0</v>
      </c>
      <c r="E140" s="103">
        <f t="shared" si="4"/>
        <v>0</v>
      </c>
      <c r="F140" s="53">
        <v>0</v>
      </c>
      <c r="G140" s="24">
        <f t="shared" ref="G140:G171" si="10">IF(C140=SUM(Month_of_Sale,PreDev_Timeline,Construction_Timeline),Sale_Price*(1-D$64),0)</f>
        <v>0</v>
      </c>
      <c r="H140" s="15">
        <f>IF(G140&gt;0,0,IF(AND(H139=0,SUM(K140:L140)=0),0,IF(D140=0,PPMT(D$65/12,COUNTIF(D$76:D140,0),D$66,Primary_Loan_Amount),0)))</f>
        <v>0</v>
      </c>
      <c r="I140" s="15">
        <f>-SUM(Primary_Loan_Amount)-SUM(H$76:H140)</f>
        <v>-23217621.943162207</v>
      </c>
      <c r="J140" s="24">
        <f t="shared" ref="J140:J171" si="11">SUM(D140,F140,G140)+IF(G140&gt;0,I140)</f>
        <v>0</v>
      </c>
      <c r="K140" s="51">
        <f>IF(L140=1,0,IF(SUM(K$81:K139)&gt;=Construction_Timeline,0,1))</f>
        <v>0</v>
      </c>
      <c r="L140" s="13">
        <f t="shared" si="9"/>
        <v>0</v>
      </c>
      <c r="M140" s="54">
        <f t="shared" si="5"/>
        <v>47969</v>
      </c>
      <c r="N140" s="7"/>
      <c r="O140" s="12"/>
      <c r="P140" s="98"/>
      <c r="Q140" s="98"/>
      <c r="R140" s="98"/>
      <c r="S140" s="98"/>
      <c r="T140" s="3"/>
      <c r="U140" s="98"/>
      <c r="V140" s="98"/>
      <c r="W140" s="98"/>
      <c r="X140" s="98"/>
    </row>
    <row r="141" spans="2:24">
      <c r="B141" s="7"/>
      <c r="C141" s="7">
        <v>65</v>
      </c>
      <c r="D141" s="24">
        <f t="shared" ref="D141:D172" si="12">IF(AND(C140&gt;0,E140&gt;=D140),E140,IF(L141=1,-Pre_Development_Costs/PreDev_Timeline,IF(K141=1,MAX(E140,-D$52/Construction_Timeline),0)))</f>
        <v>0</v>
      </c>
      <c r="E141" s="103">
        <f t="shared" si="4"/>
        <v>0</v>
      </c>
      <c r="F141" s="53">
        <v>0</v>
      </c>
      <c r="G141" s="24">
        <f t="shared" si="10"/>
        <v>0</v>
      </c>
      <c r="H141" s="15">
        <f>IF(G141&gt;0,0,IF(AND(H140=0,SUM(K141:L141)=0),0,IF(D141=0,PPMT(D$65/12,COUNTIF(D$76:D141,0),D$66,Primary_Loan_Amount),0)))</f>
        <v>0</v>
      </c>
      <c r="I141" s="15">
        <f>-SUM(Primary_Loan_Amount)-SUM(H$76:H141)</f>
        <v>-23217621.943162207</v>
      </c>
      <c r="J141" s="24">
        <f t="shared" si="11"/>
        <v>0</v>
      </c>
      <c r="K141" s="51">
        <f>IF(L141=1,0,IF(SUM(K$81:K140)&gt;=Construction_Timeline,0,1))</f>
        <v>0</v>
      </c>
      <c r="L141" s="13">
        <f t="shared" ref="L141:L172" si="13">IF(C141&lt;=PreDev_Timeline,1,0)</f>
        <v>0</v>
      </c>
      <c r="M141" s="54">
        <f t="shared" si="5"/>
        <v>48000</v>
      </c>
      <c r="N141" s="7"/>
      <c r="O141" s="12"/>
      <c r="P141" s="98"/>
      <c r="Q141" s="98"/>
      <c r="R141" s="98"/>
      <c r="S141" s="98"/>
      <c r="T141" s="3"/>
      <c r="U141" s="98"/>
      <c r="V141" s="98"/>
      <c r="W141" s="98"/>
      <c r="X141" s="98"/>
    </row>
    <row r="142" spans="2:24">
      <c r="B142" s="7"/>
      <c r="C142" s="7">
        <v>66</v>
      </c>
      <c r="D142" s="24">
        <f t="shared" si="12"/>
        <v>0</v>
      </c>
      <c r="E142" s="103">
        <f t="shared" ref="E142:E205" si="14">E141-D142</f>
        <v>0</v>
      </c>
      <c r="F142" s="53">
        <v>0</v>
      </c>
      <c r="G142" s="24">
        <f t="shared" si="10"/>
        <v>0</v>
      </c>
      <c r="H142" s="15">
        <f>IF(G142&gt;0,0,IF(AND(H141=0,SUM(K142:L142)=0),0,IF(D142=0,PPMT(D$65/12,COUNTIF(D$76:D142,0),D$66,Primary_Loan_Amount),0)))</f>
        <v>0</v>
      </c>
      <c r="I142" s="15">
        <f>-SUM(Primary_Loan_Amount)-SUM(H$76:H142)</f>
        <v>-23217621.943162207</v>
      </c>
      <c r="J142" s="24">
        <f t="shared" si="11"/>
        <v>0</v>
      </c>
      <c r="K142" s="51">
        <f>IF(L142=1,0,IF(SUM(K$81:K141)&gt;=Construction_Timeline,0,1))</f>
        <v>0</v>
      </c>
      <c r="L142" s="13">
        <f t="shared" si="13"/>
        <v>0</v>
      </c>
      <c r="M142" s="54">
        <f t="shared" ref="M142:M205" si="15">EDATE(M141,1)</f>
        <v>48030</v>
      </c>
      <c r="N142" s="7"/>
      <c r="O142" s="12"/>
      <c r="P142" s="98"/>
      <c r="Q142" s="98"/>
      <c r="R142" s="98"/>
      <c r="S142" s="98"/>
      <c r="T142" s="3"/>
      <c r="U142" s="98"/>
      <c r="V142" s="98"/>
      <c r="W142" s="98"/>
      <c r="X142" s="98"/>
    </row>
    <row r="143" spans="2:24">
      <c r="B143" s="7"/>
      <c r="C143" s="7">
        <v>67</v>
      </c>
      <c r="D143" s="24">
        <f t="shared" si="12"/>
        <v>0</v>
      </c>
      <c r="E143" s="103">
        <f t="shared" si="14"/>
        <v>0</v>
      </c>
      <c r="F143" s="53">
        <v>0</v>
      </c>
      <c r="G143" s="24">
        <f t="shared" si="10"/>
        <v>0</v>
      </c>
      <c r="H143" s="15">
        <f>IF(G143&gt;0,0,IF(AND(H142=0,SUM(K143:L143)=0),0,IF(D143=0,PPMT(D$65/12,COUNTIF(D$76:D143,0),D$66,Primary_Loan_Amount),0)))</f>
        <v>0</v>
      </c>
      <c r="I143" s="15">
        <f>-SUM(Primary_Loan_Amount)-SUM(H$76:H143)</f>
        <v>-23217621.943162207</v>
      </c>
      <c r="J143" s="24">
        <f t="shared" si="11"/>
        <v>0</v>
      </c>
      <c r="K143" s="51">
        <f>IF(L143=1,0,IF(SUM(K$81:K142)&gt;=Construction_Timeline,0,1))</f>
        <v>0</v>
      </c>
      <c r="L143" s="13">
        <f t="shared" si="13"/>
        <v>0</v>
      </c>
      <c r="M143" s="54">
        <f t="shared" si="15"/>
        <v>48061</v>
      </c>
      <c r="N143" s="7"/>
      <c r="O143" s="12"/>
      <c r="P143" s="98"/>
      <c r="Q143" s="98"/>
      <c r="R143" s="98"/>
      <c r="S143" s="98"/>
      <c r="T143" s="3"/>
      <c r="U143" s="98"/>
      <c r="V143" s="98"/>
      <c r="W143" s="98"/>
      <c r="X143" s="98"/>
    </row>
    <row r="144" spans="2:24">
      <c r="B144" s="7"/>
      <c r="C144" s="7">
        <v>68</v>
      </c>
      <c r="D144" s="24">
        <f t="shared" si="12"/>
        <v>0</v>
      </c>
      <c r="E144" s="103">
        <f t="shared" si="14"/>
        <v>0</v>
      </c>
      <c r="F144" s="53">
        <v>0</v>
      </c>
      <c r="G144" s="24">
        <f t="shared" si="10"/>
        <v>0</v>
      </c>
      <c r="H144" s="15">
        <f>IF(G144&gt;0,0,IF(AND(H143=0,SUM(K144:L144)=0),0,IF(D144=0,PPMT(D$65/12,COUNTIF(D$76:D144,0),D$66,Primary_Loan_Amount),0)))</f>
        <v>0</v>
      </c>
      <c r="I144" s="15">
        <f>-SUM(Primary_Loan_Amount)-SUM(H$76:H144)</f>
        <v>-23217621.943162207</v>
      </c>
      <c r="J144" s="24">
        <f t="shared" si="11"/>
        <v>0</v>
      </c>
      <c r="K144" s="51">
        <f>IF(L144=1,0,IF(SUM(K$81:K143)&gt;=Construction_Timeline,0,1))</f>
        <v>0</v>
      </c>
      <c r="L144" s="13">
        <f t="shared" si="13"/>
        <v>0</v>
      </c>
      <c r="M144" s="54">
        <f t="shared" si="15"/>
        <v>48092</v>
      </c>
      <c r="N144" s="7"/>
      <c r="O144" s="12"/>
      <c r="P144" s="98"/>
      <c r="Q144" s="98"/>
      <c r="R144" s="98"/>
      <c r="S144" s="98"/>
      <c r="T144" s="3"/>
      <c r="U144" s="98"/>
      <c r="V144" s="98"/>
      <c r="W144" s="98"/>
      <c r="X144" s="98"/>
    </row>
    <row r="145" spans="2:24">
      <c r="B145" s="7"/>
      <c r="C145" s="7">
        <v>69</v>
      </c>
      <c r="D145" s="24">
        <f t="shared" si="12"/>
        <v>0</v>
      </c>
      <c r="E145" s="103">
        <f t="shared" si="14"/>
        <v>0</v>
      </c>
      <c r="F145" s="53">
        <v>0</v>
      </c>
      <c r="G145" s="24">
        <f t="shared" si="10"/>
        <v>0</v>
      </c>
      <c r="H145" s="15">
        <f>IF(G145&gt;0,0,IF(AND(H144=0,SUM(K145:L145)=0),0,IF(D145=0,PPMT(D$65/12,COUNTIF(D$76:D145,0),D$66,Primary_Loan_Amount),0)))</f>
        <v>0</v>
      </c>
      <c r="I145" s="15">
        <f>-SUM(Primary_Loan_Amount)-SUM(H$76:H145)</f>
        <v>-23217621.943162207</v>
      </c>
      <c r="J145" s="24">
        <f t="shared" si="11"/>
        <v>0</v>
      </c>
      <c r="K145" s="51">
        <f>IF(L145=1,0,IF(SUM(K$81:K144)&gt;=Construction_Timeline,0,1))</f>
        <v>0</v>
      </c>
      <c r="L145" s="13">
        <f t="shared" si="13"/>
        <v>0</v>
      </c>
      <c r="M145" s="54">
        <f t="shared" si="15"/>
        <v>48122</v>
      </c>
      <c r="N145" s="7"/>
      <c r="O145" s="12"/>
      <c r="P145" s="98"/>
      <c r="Q145" s="98"/>
      <c r="R145" s="98"/>
      <c r="S145" s="98"/>
      <c r="T145" s="3"/>
      <c r="U145" s="98"/>
      <c r="V145" s="98"/>
      <c r="W145" s="98"/>
      <c r="X145" s="98"/>
    </row>
    <row r="146" spans="2:24">
      <c r="B146" s="7"/>
      <c r="C146" s="7">
        <v>70</v>
      </c>
      <c r="D146" s="24">
        <f t="shared" si="12"/>
        <v>0</v>
      </c>
      <c r="E146" s="103">
        <f t="shared" si="14"/>
        <v>0</v>
      </c>
      <c r="F146" s="53">
        <v>0</v>
      </c>
      <c r="G146" s="24">
        <f t="shared" si="10"/>
        <v>0</v>
      </c>
      <c r="H146" s="15">
        <f>IF(G146&gt;0,0,IF(AND(H145=0,SUM(K146:L146)=0),0,IF(D146=0,PPMT(D$65/12,COUNTIF(D$76:D146,0),D$66,Primary_Loan_Amount),0)))</f>
        <v>0</v>
      </c>
      <c r="I146" s="15">
        <f>-SUM(Primary_Loan_Amount)-SUM(H$76:H146)</f>
        <v>-23217621.943162207</v>
      </c>
      <c r="J146" s="24">
        <f t="shared" si="11"/>
        <v>0</v>
      </c>
      <c r="K146" s="51">
        <f>IF(L146=1,0,IF(SUM(K$81:K145)&gt;=Construction_Timeline,0,1))</f>
        <v>0</v>
      </c>
      <c r="L146" s="13">
        <f t="shared" si="13"/>
        <v>0</v>
      </c>
      <c r="M146" s="54">
        <f t="shared" si="15"/>
        <v>48153</v>
      </c>
      <c r="N146" s="7"/>
      <c r="O146" s="12"/>
      <c r="P146" s="98"/>
      <c r="Q146" s="98"/>
      <c r="R146" s="98"/>
      <c r="S146" s="98"/>
      <c r="T146" s="3"/>
      <c r="U146" s="98"/>
      <c r="V146" s="98"/>
      <c r="W146" s="98"/>
      <c r="X146" s="98"/>
    </row>
    <row r="147" spans="2:24">
      <c r="B147" s="7"/>
      <c r="C147" s="7">
        <v>71</v>
      </c>
      <c r="D147" s="24">
        <f t="shared" si="12"/>
        <v>0</v>
      </c>
      <c r="E147" s="103">
        <f t="shared" si="14"/>
        <v>0</v>
      </c>
      <c r="F147" s="53">
        <v>0</v>
      </c>
      <c r="G147" s="24">
        <f t="shared" si="10"/>
        <v>0</v>
      </c>
      <c r="H147" s="15">
        <f>IF(G147&gt;0,0,IF(AND(H146=0,SUM(K147:L147)=0),0,IF(D147=0,PPMT(D$65/12,COUNTIF(D$76:D147,0),D$66,Primary_Loan_Amount),0)))</f>
        <v>0</v>
      </c>
      <c r="I147" s="15">
        <f>-SUM(Primary_Loan_Amount)-SUM(H$76:H147)</f>
        <v>-23217621.943162207</v>
      </c>
      <c r="J147" s="24">
        <f t="shared" si="11"/>
        <v>0</v>
      </c>
      <c r="K147" s="51">
        <f>IF(L147=1,0,IF(SUM(K$81:K146)&gt;=Construction_Timeline,0,1))</f>
        <v>0</v>
      </c>
      <c r="L147" s="13">
        <f t="shared" si="13"/>
        <v>0</v>
      </c>
      <c r="M147" s="54">
        <f t="shared" si="15"/>
        <v>48183</v>
      </c>
      <c r="N147" s="7"/>
      <c r="O147" s="12"/>
      <c r="P147" s="98"/>
      <c r="Q147" s="98"/>
      <c r="R147" s="98"/>
      <c r="S147" s="98"/>
      <c r="T147" s="3"/>
      <c r="U147" s="98"/>
      <c r="V147" s="98"/>
      <c r="W147" s="98"/>
      <c r="X147" s="98"/>
    </row>
    <row r="148" spans="2:24">
      <c r="B148" s="7"/>
      <c r="C148" s="7">
        <v>72</v>
      </c>
      <c r="D148" s="24">
        <f t="shared" si="12"/>
        <v>0</v>
      </c>
      <c r="E148" s="103">
        <f t="shared" si="14"/>
        <v>0</v>
      </c>
      <c r="F148" s="53">
        <v>0</v>
      </c>
      <c r="G148" s="24">
        <f t="shared" si="10"/>
        <v>0</v>
      </c>
      <c r="H148" s="15">
        <f>IF(G148&gt;0,0,IF(AND(H147=0,SUM(K148:L148)=0),0,IF(D148=0,PPMT(D$65/12,COUNTIF(D$76:D148,0),D$66,Primary_Loan_Amount),0)))</f>
        <v>0</v>
      </c>
      <c r="I148" s="15">
        <f>-SUM(Primary_Loan_Amount)-SUM(H$76:H148)</f>
        <v>-23217621.943162207</v>
      </c>
      <c r="J148" s="24">
        <f t="shared" si="11"/>
        <v>0</v>
      </c>
      <c r="K148" s="51">
        <f>IF(L148=1,0,IF(SUM(K$81:K147)&gt;=Construction_Timeline,0,1))</f>
        <v>0</v>
      </c>
      <c r="L148" s="13">
        <f t="shared" si="13"/>
        <v>0</v>
      </c>
      <c r="M148" s="54">
        <f t="shared" si="15"/>
        <v>48214</v>
      </c>
      <c r="N148" s="7"/>
      <c r="O148" s="12"/>
      <c r="P148" s="98"/>
      <c r="Q148" s="98"/>
      <c r="R148" s="98"/>
      <c r="S148" s="98"/>
      <c r="T148" s="3"/>
      <c r="U148" s="98"/>
      <c r="V148" s="98"/>
      <c r="W148" s="98"/>
      <c r="X148" s="98"/>
    </row>
    <row r="149" spans="2:24">
      <c r="B149" s="7"/>
      <c r="C149" s="7">
        <v>73</v>
      </c>
      <c r="D149" s="24">
        <f t="shared" si="12"/>
        <v>0</v>
      </c>
      <c r="E149" s="103">
        <f t="shared" si="14"/>
        <v>0</v>
      </c>
      <c r="F149" s="53">
        <v>0</v>
      </c>
      <c r="G149" s="24">
        <f t="shared" si="10"/>
        <v>0</v>
      </c>
      <c r="H149" s="15">
        <f>IF(G149&gt;0,0,IF(AND(H148=0,SUM(K149:L149)=0),0,IF(D149=0,PPMT(D$65/12,COUNTIF(D$76:D149,0),D$66,Primary_Loan_Amount),0)))</f>
        <v>0</v>
      </c>
      <c r="I149" s="15">
        <f>-SUM(Primary_Loan_Amount)-SUM(H$76:H149)</f>
        <v>-23217621.943162207</v>
      </c>
      <c r="J149" s="24">
        <f t="shared" si="11"/>
        <v>0</v>
      </c>
      <c r="K149" s="51">
        <f>IF(L149=1,0,IF(SUM(K$81:K148)&gt;=Construction_Timeline,0,1))</f>
        <v>0</v>
      </c>
      <c r="L149" s="13">
        <f t="shared" si="13"/>
        <v>0</v>
      </c>
      <c r="M149" s="54">
        <f t="shared" si="15"/>
        <v>48245</v>
      </c>
      <c r="N149" s="7"/>
      <c r="O149" s="12"/>
      <c r="P149" s="98"/>
      <c r="Q149" s="98"/>
      <c r="R149" s="98"/>
      <c r="S149" s="98"/>
      <c r="T149" s="3"/>
      <c r="U149" s="98"/>
      <c r="V149" s="98"/>
      <c r="W149" s="98"/>
      <c r="X149" s="98"/>
    </row>
    <row r="150" spans="2:24">
      <c r="B150" s="7"/>
      <c r="C150" s="7">
        <v>74</v>
      </c>
      <c r="D150" s="24">
        <f t="shared" si="12"/>
        <v>0</v>
      </c>
      <c r="E150" s="103">
        <f t="shared" si="14"/>
        <v>0</v>
      </c>
      <c r="F150" s="53">
        <v>0</v>
      </c>
      <c r="G150" s="24">
        <f t="shared" si="10"/>
        <v>0</v>
      </c>
      <c r="H150" s="15">
        <f>IF(G150&gt;0,0,IF(AND(H149=0,SUM(K150:L150)=0),0,IF(D150=0,PPMT(D$65/12,COUNTIF(D$76:D150,0),D$66,Primary_Loan_Amount),0)))</f>
        <v>0</v>
      </c>
      <c r="I150" s="15">
        <f>-SUM(Primary_Loan_Amount)-SUM(H$76:H150)</f>
        <v>-23217621.943162207</v>
      </c>
      <c r="J150" s="24">
        <f t="shared" si="11"/>
        <v>0</v>
      </c>
      <c r="K150" s="51">
        <f>IF(L150=1,0,IF(SUM(K$81:K149)&gt;=Construction_Timeline,0,1))</f>
        <v>0</v>
      </c>
      <c r="L150" s="13">
        <f t="shared" si="13"/>
        <v>0</v>
      </c>
      <c r="M150" s="54">
        <f t="shared" si="15"/>
        <v>48274</v>
      </c>
      <c r="N150" s="7"/>
      <c r="O150" s="12"/>
      <c r="P150" s="98"/>
      <c r="Q150" s="98"/>
      <c r="R150" s="98"/>
      <c r="S150" s="98"/>
      <c r="T150" s="3"/>
      <c r="U150" s="98"/>
      <c r="V150" s="98"/>
      <c r="W150" s="98"/>
      <c r="X150" s="98"/>
    </row>
    <row r="151" spans="2:24">
      <c r="B151" s="7"/>
      <c r="C151" s="7">
        <v>75</v>
      </c>
      <c r="D151" s="24">
        <f t="shared" si="12"/>
        <v>0</v>
      </c>
      <c r="E151" s="103">
        <f t="shared" si="14"/>
        <v>0</v>
      </c>
      <c r="F151" s="53">
        <v>0</v>
      </c>
      <c r="G151" s="24">
        <f t="shared" si="10"/>
        <v>0</v>
      </c>
      <c r="H151" s="15">
        <f>IF(G151&gt;0,0,IF(AND(H150=0,SUM(K151:L151)=0),0,IF(D151=0,PPMT(D$65/12,COUNTIF(D$76:D151,0),D$66,Primary_Loan_Amount),0)))</f>
        <v>0</v>
      </c>
      <c r="I151" s="15">
        <f>-SUM(Primary_Loan_Amount)-SUM(H$76:H151)</f>
        <v>-23217621.943162207</v>
      </c>
      <c r="J151" s="24">
        <f t="shared" si="11"/>
        <v>0</v>
      </c>
      <c r="K151" s="51">
        <f>IF(L151=1,0,IF(SUM(K$81:K150)&gt;=Construction_Timeline,0,1))</f>
        <v>0</v>
      </c>
      <c r="L151" s="13">
        <f t="shared" si="13"/>
        <v>0</v>
      </c>
      <c r="M151" s="54">
        <f t="shared" si="15"/>
        <v>48305</v>
      </c>
      <c r="N151" s="7"/>
      <c r="O151" s="12"/>
      <c r="P151" s="98"/>
      <c r="Q151" s="98"/>
      <c r="R151" s="98"/>
      <c r="S151" s="98"/>
      <c r="T151" s="3"/>
      <c r="U151" s="98"/>
      <c r="V151" s="98"/>
      <c r="W151" s="98"/>
      <c r="X151" s="98"/>
    </row>
    <row r="152" spans="2:24">
      <c r="B152" s="7"/>
      <c r="C152" s="7">
        <v>76</v>
      </c>
      <c r="D152" s="24">
        <f t="shared" si="12"/>
        <v>0</v>
      </c>
      <c r="E152" s="103">
        <f t="shared" si="14"/>
        <v>0</v>
      </c>
      <c r="F152" s="53">
        <v>0</v>
      </c>
      <c r="G152" s="24">
        <f t="shared" si="10"/>
        <v>0</v>
      </c>
      <c r="H152" s="15">
        <f>IF(G152&gt;0,0,IF(AND(H151=0,SUM(K152:L152)=0),0,IF(D152=0,PPMT(D$65/12,COUNTIF(D$76:D152,0),D$66,Primary_Loan_Amount),0)))</f>
        <v>0</v>
      </c>
      <c r="I152" s="15">
        <f>-SUM(Primary_Loan_Amount)-SUM(H$76:H152)</f>
        <v>-23217621.943162207</v>
      </c>
      <c r="J152" s="24">
        <f t="shared" si="11"/>
        <v>0</v>
      </c>
      <c r="K152" s="51">
        <f>IF(L152=1,0,IF(SUM(K$81:K151)&gt;=Construction_Timeline,0,1))</f>
        <v>0</v>
      </c>
      <c r="L152" s="13">
        <f t="shared" si="13"/>
        <v>0</v>
      </c>
      <c r="M152" s="54">
        <f t="shared" si="15"/>
        <v>48335</v>
      </c>
      <c r="N152" s="7"/>
      <c r="O152" s="12"/>
      <c r="P152" s="98"/>
      <c r="Q152" s="98"/>
      <c r="R152" s="98"/>
      <c r="S152" s="98"/>
      <c r="T152" s="3"/>
      <c r="U152" s="98"/>
      <c r="V152" s="98"/>
      <c r="W152" s="98"/>
      <c r="X152" s="98"/>
    </row>
    <row r="153" spans="2:24">
      <c r="B153" s="7"/>
      <c r="C153" s="7">
        <v>77</v>
      </c>
      <c r="D153" s="24">
        <f t="shared" si="12"/>
        <v>0</v>
      </c>
      <c r="E153" s="103">
        <f t="shared" si="14"/>
        <v>0</v>
      </c>
      <c r="F153" s="53">
        <v>0</v>
      </c>
      <c r="G153" s="24">
        <f t="shared" si="10"/>
        <v>0</v>
      </c>
      <c r="H153" s="15">
        <f>IF(G153&gt;0,0,IF(AND(H152=0,SUM(K153:L153)=0),0,IF(D153=0,PPMT(D$65/12,COUNTIF(D$76:D153,0),D$66,Primary_Loan_Amount),0)))</f>
        <v>0</v>
      </c>
      <c r="I153" s="15">
        <f>-SUM(Primary_Loan_Amount)-SUM(H$76:H153)</f>
        <v>-23217621.943162207</v>
      </c>
      <c r="J153" s="24">
        <f t="shared" si="11"/>
        <v>0</v>
      </c>
      <c r="K153" s="51">
        <f>IF(L153=1,0,IF(SUM(K$81:K152)&gt;=Construction_Timeline,0,1))</f>
        <v>0</v>
      </c>
      <c r="L153" s="13">
        <f t="shared" si="13"/>
        <v>0</v>
      </c>
      <c r="M153" s="54">
        <f t="shared" si="15"/>
        <v>48366</v>
      </c>
      <c r="N153" s="7"/>
      <c r="O153" s="12"/>
      <c r="P153" s="98"/>
      <c r="Q153" s="98"/>
      <c r="R153" s="98"/>
      <c r="S153" s="98"/>
      <c r="T153" s="3"/>
      <c r="U153" s="98"/>
      <c r="V153" s="98"/>
      <c r="W153" s="98"/>
      <c r="X153" s="98"/>
    </row>
    <row r="154" spans="2:24">
      <c r="B154" s="7"/>
      <c r="C154" s="7">
        <v>78</v>
      </c>
      <c r="D154" s="24">
        <f t="shared" si="12"/>
        <v>0</v>
      </c>
      <c r="E154" s="103">
        <f t="shared" si="14"/>
        <v>0</v>
      </c>
      <c r="F154" s="53">
        <v>0</v>
      </c>
      <c r="G154" s="24">
        <f t="shared" si="10"/>
        <v>0</v>
      </c>
      <c r="H154" s="15">
        <f>IF(G154&gt;0,0,IF(AND(H153=0,SUM(K154:L154)=0),0,IF(D154=0,PPMT(D$65/12,COUNTIF(D$76:D154,0),D$66,Primary_Loan_Amount),0)))</f>
        <v>0</v>
      </c>
      <c r="I154" s="15">
        <f>-SUM(Primary_Loan_Amount)-SUM(H$76:H154)</f>
        <v>-23217621.943162207</v>
      </c>
      <c r="J154" s="24">
        <f t="shared" si="11"/>
        <v>0</v>
      </c>
      <c r="K154" s="51">
        <f>IF(L154=1,0,IF(SUM(K$81:K153)&gt;=Construction_Timeline,0,1))</f>
        <v>0</v>
      </c>
      <c r="L154" s="13">
        <f t="shared" si="13"/>
        <v>0</v>
      </c>
      <c r="M154" s="54">
        <f t="shared" si="15"/>
        <v>48396</v>
      </c>
      <c r="N154" s="7"/>
      <c r="O154" s="12"/>
      <c r="P154" s="98"/>
      <c r="Q154" s="98"/>
      <c r="R154" s="98"/>
      <c r="S154" s="98"/>
      <c r="T154" s="3"/>
      <c r="U154" s="98"/>
      <c r="V154" s="98"/>
      <c r="W154" s="98"/>
      <c r="X154" s="98"/>
    </row>
    <row r="155" spans="2:24">
      <c r="B155" s="7"/>
      <c r="C155" s="7">
        <v>79</v>
      </c>
      <c r="D155" s="24">
        <f t="shared" si="12"/>
        <v>0</v>
      </c>
      <c r="E155" s="103">
        <f t="shared" si="14"/>
        <v>0</v>
      </c>
      <c r="F155" s="53">
        <v>0</v>
      </c>
      <c r="G155" s="24">
        <f t="shared" si="10"/>
        <v>0</v>
      </c>
      <c r="H155" s="15">
        <f>IF(G155&gt;0,0,IF(AND(H154=0,SUM(K155:L155)=0),0,IF(D155=0,PPMT(D$65/12,COUNTIF(D$76:D155,0),D$66,Primary_Loan_Amount),0)))</f>
        <v>0</v>
      </c>
      <c r="I155" s="15">
        <f>-SUM(Primary_Loan_Amount)-SUM(H$76:H155)</f>
        <v>-23217621.943162207</v>
      </c>
      <c r="J155" s="24">
        <f t="shared" si="11"/>
        <v>0</v>
      </c>
      <c r="K155" s="51">
        <f>IF(L155=1,0,IF(SUM(K$81:K154)&gt;=Construction_Timeline,0,1))</f>
        <v>0</v>
      </c>
      <c r="L155" s="13">
        <f t="shared" si="13"/>
        <v>0</v>
      </c>
      <c r="M155" s="54">
        <f t="shared" si="15"/>
        <v>48427</v>
      </c>
      <c r="N155" s="7"/>
      <c r="O155" s="12"/>
      <c r="P155" s="98"/>
      <c r="Q155" s="98"/>
      <c r="R155" s="98"/>
      <c r="S155" s="98"/>
      <c r="T155" s="3"/>
      <c r="U155" s="98"/>
      <c r="V155" s="98"/>
      <c r="W155" s="98"/>
      <c r="X155" s="98"/>
    </row>
    <row r="156" spans="2:24">
      <c r="B156" s="7"/>
      <c r="C156" s="7">
        <v>80</v>
      </c>
      <c r="D156" s="24">
        <f t="shared" si="12"/>
        <v>0</v>
      </c>
      <c r="E156" s="103">
        <f t="shared" si="14"/>
        <v>0</v>
      </c>
      <c r="F156" s="53">
        <v>0</v>
      </c>
      <c r="G156" s="24">
        <f t="shared" si="10"/>
        <v>0</v>
      </c>
      <c r="H156" s="15">
        <f>IF(G156&gt;0,0,IF(AND(H155=0,SUM(K156:L156)=0),0,IF(D156=0,PPMT(D$65/12,COUNTIF(D$76:D156,0),D$66,Primary_Loan_Amount),0)))</f>
        <v>0</v>
      </c>
      <c r="I156" s="15">
        <f>-SUM(Primary_Loan_Amount)-SUM(H$76:H156)</f>
        <v>-23217621.943162207</v>
      </c>
      <c r="J156" s="24">
        <f t="shared" si="11"/>
        <v>0</v>
      </c>
      <c r="K156" s="51">
        <f>IF(L156=1,0,IF(SUM(K$81:K155)&gt;=Construction_Timeline,0,1))</f>
        <v>0</v>
      </c>
      <c r="L156" s="13">
        <f t="shared" si="13"/>
        <v>0</v>
      </c>
      <c r="M156" s="54">
        <f t="shared" si="15"/>
        <v>48458</v>
      </c>
      <c r="N156" s="7"/>
      <c r="O156" s="12"/>
      <c r="P156" s="98"/>
      <c r="Q156" s="98"/>
      <c r="R156" s="98"/>
      <c r="S156" s="98"/>
      <c r="T156" s="3"/>
      <c r="U156" s="98"/>
      <c r="V156" s="98"/>
      <c r="W156" s="98"/>
      <c r="X156" s="98"/>
    </row>
    <row r="157" spans="2:24">
      <c r="B157" s="7"/>
      <c r="C157" s="7">
        <v>81</v>
      </c>
      <c r="D157" s="24">
        <f t="shared" si="12"/>
        <v>0</v>
      </c>
      <c r="E157" s="103">
        <f t="shared" si="14"/>
        <v>0</v>
      </c>
      <c r="F157" s="53">
        <v>0</v>
      </c>
      <c r="G157" s="24">
        <f t="shared" si="10"/>
        <v>0</v>
      </c>
      <c r="H157" s="15">
        <f>IF(G157&gt;0,0,IF(AND(H156=0,SUM(K157:L157)=0),0,IF(D157=0,PPMT(D$65/12,COUNTIF(D$76:D157,0),D$66,Primary_Loan_Amount),0)))</f>
        <v>0</v>
      </c>
      <c r="I157" s="15">
        <f>-SUM(Primary_Loan_Amount)-SUM(H$76:H157)</f>
        <v>-23217621.943162207</v>
      </c>
      <c r="J157" s="24">
        <f t="shared" si="11"/>
        <v>0</v>
      </c>
      <c r="K157" s="51">
        <f>IF(L157=1,0,IF(SUM(K$81:K156)&gt;=Construction_Timeline,0,1))</f>
        <v>0</v>
      </c>
      <c r="L157" s="13">
        <f t="shared" si="13"/>
        <v>0</v>
      </c>
      <c r="M157" s="54">
        <f t="shared" si="15"/>
        <v>48488</v>
      </c>
      <c r="N157" s="7"/>
      <c r="O157" s="12"/>
      <c r="P157" s="98"/>
      <c r="Q157" s="98"/>
      <c r="R157" s="98"/>
      <c r="S157" s="98"/>
      <c r="T157" s="3"/>
      <c r="U157" s="98"/>
      <c r="V157" s="98"/>
      <c r="W157" s="98"/>
      <c r="X157" s="98"/>
    </row>
    <row r="158" spans="2:24">
      <c r="B158" s="7"/>
      <c r="C158" s="7">
        <v>82</v>
      </c>
      <c r="D158" s="24">
        <f t="shared" si="12"/>
        <v>0</v>
      </c>
      <c r="E158" s="103">
        <f t="shared" si="14"/>
        <v>0</v>
      </c>
      <c r="F158" s="53">
        <v>0</v>
      </c>
      <c r="G158" s="24">
        <f t="shared" si="10"/>
        <v>0</v>
      </c>
      <c r="H158" s="15">
        <f>IF(G158&gt;0,0,IF(AND(H157=0,SUM(K158:L158)=0),0,IF(D158=0,PPMT(D$65/12,COUNTIF(D$76:D158,0),D$66,Primary_Loan_Amount),0)))</f>
        <v>0</v>
      </c>
      <c r="I158" s="15">
        <f>-SUM(Primary_Loan_Amount)-SUM(H$76:H158)</f>
        <v>-23217621.943162207</v>
      </c>
      <c r="J158" s="24">
        <f t="shared" si="11"/>
        <v>0</v>
      </c>
      <c r="K158" s="51">
        <f>IF(L158=1,0,IF(SUM(K$81:K157)&gt;=Construction_Timeline,0,1))</f>
        <v>0</v>
      </c>
      <c r="L158" s="13">
        <f t="shared" si="13"/>
        <v>0</v>
      </c>
      <c r="M158" s="54">
        <f t="shared" si="15"/>
        <v>48519</v>
      </c>
      <c r="N158" s="7"/>
      <c r="O158" s="12"/>
      <c r="P158" s="98"/>
      <c r="Q158" s="98"/>
      <c r="R158" s="98"/>
      <c r="S158" s="98"/>
      <c r="T158" s="3"/>
      <c r="U158" s="98"/>
      <c r="V158" s="98"/>
      <c r="W158" s="98"/>
      <c r="X158" s="98"/>
    </row>
    <row r="159" spans="2:24">
      <c r="B159" s="7"/>
      <c r="C159" s="7">
        <v>83</v>
      </c>
      <c r="D159" s="24">
        <f t="shared" si="12"/>
        <v>0</v>
      </c>
      <c r="E159" s="103">
        <f t="shared" si="14"/>
        <v>0</v>
      </c>
      <c r="F159" s="53">
        <v>0</v>
      </c>
      <c r="G159" s="24">
        <f t="shared" si="10"/>
        <v>0</v>
      </c>
      <c r="H159" s="15">
        <f>IF(G159&gt;0,0,IF(AND(H158=0,SUM(K159:L159)=0),0,IF(D159=0,PPMT(D$65/12,COUNTIF(D$76:D159,0),D$66,Primary_Loan_Amount),0)))</f>
        <v>0</v>
      </c>
      <c r="I159" s="15">
        <f>-SUM(Primary_Loan_Amount)-SUM(H$76:H159)</f>
        <v>-23217621.943162207</v>
      </c>
      <c r="J159" s="24">
        <f t="shared" si="11"/>
        <v>0</v>
      </c>
      <c r="K159" s="51">
        <f>IF(L159=1,0,IF(SUM(K$81:K158)&gt;=Construction_Timeline,0,1))</f>
        <v>0</v>
      </c>
      <c r="L159" s="13">
        <f t="shared" si="13"/>
        <v>0</v>
      </c>
      <c r="M159" s="54">
        <f t="shared" si="15"/>
        <v>48549</v>
      </c>
      <c r="N159" s="7"/>
      <c r="O159" s="12"/>
      <c r="P159" s="98"/>
      <c r="Q159" s="98"/>
      <c r="R159" s="98"/>
      <c r="S159" s="98"/>
      <c r="T159" s="3"/>
      <c r="U159" s="98"/>
      <c r="V159" s="98"/>
      <c r="W159" s="98"/>
      <c r="X159" s="98"/>
    </row>
    <row r="160" spans="2:24">
      <c r="B160" s="7"/>
      <c r="C160" s="7">
        <v>84</v>
      </c>
      <c r="D160" s="24">
        <f t="shared" si="12"/>
        <v>0</v>
      </c>
      <c r="E160" s="103">
        <f t="shared" si="14"/>
        <v>0</v>
      </c>
      <c r="F160" s="53">
        <v>0</v>
      </c>
      <c r="G160" s="24">
        <f t="shared" si="10"/>
        <v>0</v>
      </c>
      <c r="H160" s="15">
        <f>IF(G160&gt;0,0,IF(AND(H159=0,SUM(K160:L160)=0),0,IF(D160=0,PPMT(D$65/12,COUNTIF(D$76:D160,0),D$66,Primary_Loan_Amount),0)))</f>
        <v>0</v>
      </c>
      <c r="I160" s="15">
        <f>-SUM(Primary_Loan_Amount)-SUM(H$76:H160)</f>
        <v>-23217621.943162207</v>
      </c>
      <c r="J160" s="24">
        <f t="shared" si="11"/>
        <v>0</v>
      </c>
      <c r="K160" s="51">
        <f>IF(L160=1,0,IF(SUM(K$81:K159)&gt;=Construction_Timeline,0,1))</f>
        <v>0</v>
      </c>
      <c r="L160" s="13">
        <f t="shared" si="13"/>
        <v>0</v>
      </c>
      <c r="M160" s="54">
        <f t="shared" si="15"/>
        <v>48580</v>
      </c>
      <c r="N160" s="7"/>
      <c r="O160" s="12"/>
      <c r="P160" s="98"/>
      <c r="Q160" s="98"/>
      <c r="R160" s="98"/>
      <c r="S160" s="98"/>
      <c r="T160" s="3"/>
      <c r="U160" s="98"/>
      <c r="V160" s="98"/>
      <c r="W160" s="98"/>
      <c r="X160" s="98"/>
    </row>
    <row r="161" spans="2:24">
      <c r="B161" s="7"/>
      <c r="C161" s="7">
        <v>85</v>
      </c>
      <c r="D161" s="24">
        <f t="shared" si="12"/>
        <v>0</v>
      </c>
      <c r="E161" s="103">
        <f t="shared" si="14"/>
        <v>0</v>
      </c>
      <c r="F161" s="53">
        <v>0</v>
      </c>
      <c r="G161" s="24">
        <f t="shared" si="10"/>
        <v>0</v>
      </c>
      <c r="H161" s="15">
        <f>IF(G161&gt;0,0,IF(AND(H160=0,SUM(K161:L161)=0),0,IF(D161=0,PPMT(D$65/12,COUNTIF(D$76:D161,0),D$66,Primary_Loan_Amount),0)))</f>
        <v>0</v>
      </c>
      <c r="I161" s="15">
        <f>-SUM(Primary_Loan_Amount)-SUM(H$76:H161)</f>
        <v>-23217621.943162207</v>
      </c>
      <c r="J161" s="24">
        <f t="shared" si="11"/>
        <v>0</v>
      </c>
      <c r="K161" s="51">
        <f>IF(L161=1,0,IF(SUM(K$81:K160)&gt;=Construction_Timeline,0,1))</f>
        <v>0</v>
      </c>
      <c r="L161" s="13">
        <f t="shared" si="13"/>
        <v>0</v>
      </c>
      <c r="M161" s="54">
        <f t="shared" si="15"/>
        <v>48611</v>
      </c>
      <c r="N161" s="7"/>
      <c r="O161" s="12"/>
      <c r="P161" s="98"/>
      <c r="Q161" s="98"/>
      <c r="R161" s="98"/>
      <c r="S161" s="98"/>
      <c r="T161" s="3"/>
      <c r="U161" s="98"/>
      <c r="V161" s="98"/>
      <c r="W161" s="98"/>
      <c r="X161" s="98"/>
    </row>
    <row r="162" spans="2:24">
      <c r="B162" s="7"/>
      <c r="C162" s="7">
        <v>86</v>
      </c>
      <c r="D162" s="24">
        <f t="shared" si="12"/>
        <v>0</v>
      </c>
      <c r="E162" s="103">
        <f t="shared" si="14"/>
        <v>0</v>
      </c>
      <c r="F162" s="53">
        <v>0</v>
      </c>
      <c r="G162" s="24">
        <f t="shared" si="10"/>
        <v>0</v>
      </c>
      <c r="H162" s="15">
        <f>IF(G162&gt;0,0,IF(AND(H161=0,SUM(K162:L162)=0),0,IF(D162=0,PPMT(D$65/12,COUNTIF(D$76:D162,0),D$66,Primary_Loan_Amount),0)))</f>
        <v>0</v>
      </c>
      <c r="I162" s="15">
        <f>-SUM(Primary_Loan_Amount)-SUM(H$76:H162)</f>
        <v>-23217621.943162207</v>
      </c>
      <c r="J162" s="24">
        <f t="shared" si="11"/>
        <v>0</v>
      </c>
      <c r="K162" s="51">
        <f>IF(L162=1,0,IF(SUM(K$81:K161)&gt;=Construction_Timeline,0,1))</f>
        <v>0</v>
      </c>
      <c r="L162" s="13">
        <f t="shared" si="13"/>
        <v>0</v>
      </c>
      <c r="M162" s="54">
        <f t="shared" si="15"/>
        <v>48639</v>
      </c>
      <c r="N162" s="7"/>
      <c r="O162" s="12"/>
      <c r="P162" s="98"/>
      <c r="Q162" s="98"/>
      <c r="R162" s="98"/>
      <c r="S162" s="98"/>
      <c r="T162" s="3"/>
      <c r="U162" s="98"/>
      <c r="V162" s="98"/>
      <c r="W162" s="98"/>
      <c r="X162" s="98"/>
    </row>
    <row r="163" spans="2:24">
      <c r="B163" s="7"/>
      <c r="C163" s="7">
        <v>87</v>
      </c>
      <c r="D163" s="24">
        <f t="shared" si="12"/>
        <v>0</v>
      </c>
      <c r="E163" s="103">
        <f t="shared" si="14"/>
        <v>0</v>
      </c>
      <c r="F163" s="53">
        <v>0</v>
      </c>
      <c r="G163" s="24">
        <f t="shared" si="10"/>
        <v>0</v>
      </c>
      <c r="H163" s="15">
        <f>IF(G163&gt;0,0,IF(AND(H162=0,SUM(K163:L163)=0),0,IF(D163=0,PPMT(D$65/12,COUNTIF(D$76:D163,0),D$66,Primary_Loan_Amount),0)))</f>
        <v>0</v>
      </c>
      <c r="I163" s="15">
        <f>-SUM(Primary_Loan_Amount)-SUM(H$76:H163)</f>
        <v>-23217621.943162207</v>
      </c>
      <c r="J163" s="24">
        <f t="shared" si="11"/>
        <v>0</v>
      </c>
      <c r="K163" s="51">
        <f>IF(L163=1,0,IF(SUM(K$81:K162)&gt;=Construction_Timeline,0,1))</f>
        <v>0</v>
      </c>
      <c r="L163" s="13">
        <f t="shared" si="13"/>
        <v>0</v>
      </c>
      <c r="M163" s="54">
        <f t="shared" si="15"/>
        <v>48670</v>
      </c>
      <c r="N163" s="7"/>
      <c r="O163" s="12"/>
      <c r="P163" s="98"/>
      <c r="Q163" s="98"/>
      <c r="R163" s="98"/>
      <c r="S163" s="98"/>
      <c r="T163" s="3"/>
      <c r="U163" s="98"/>
      <c r="V163" s="98"/>
      <c r="W163" s="98"/>
      <c r="X163" s="98"/>
    </row>
    <row r="164" spans="2:24">
      <c r="B164" s="7"/>
      <c r="C164" s="7">
        <v>88</v>
      </c>
      <c r="D164" s="24">
        <f t="shared" si="12"/>
        <v>0</v>
      </c>
      <c r="E164" s="103">
        <f t="shared" si="14"/>
        <v>0</v>
      </c>
      <c r="F164" s="53">
        <v>0</v>
      </c>
      <c r="G164" s="24">
        <f t="shared" si="10"/>
        <v>0</v>
      </c>
      <c r="H164" s="15">
        <f>IF(G164&gt;0,0,IF(AND(H163=0,SUM(K164:L164)=0),0,IF(D164=0,PPMT(D$65/12,COUNTIF(D$76:D164,0),D$66,Primary_Loan_Amount),0)))</f>
        <v>0</v>
      </c>
      <c r="I164" s="15">
        <f>-SUM(Primary_Loan_Amount)-SUM(H$76:H164)</f>
        <v>-23217621.943162207</v>
      </c>
      <c r="J164" s="24">
        <f t="shared" si="11"/>
        <v>0</v>
      </c>
      <c r="K164" s="51">
        <f>IF(L164=1,0,IF(SUM(K$81:K163)&gt;=Construction_Timeline,0,1))</f>
        <v>0</v>
      </c>
      <c r="L164" s="13">
        <f t="shared" si="13"/>
        <v>0</v>
      </c>
      <c r="M164" s="54">
        <f t="shared" si="15"/>
        <v>48700</v>
      </c>
      <c r="N164" s="7"/>
      <c r="O164" s="12"/>
      <c r="P164" s="98"/>
      <c r="Q164" s="98"/>
      <c r="R164" s="98"/>
      <c r="S164" s="98"/>
      <c r="T164" s="3"/>
      <c r="U164" s="98"/>
      <c r="V164" s="98"/>
      <c r="W164" s="98"/>
      <c r="X164" s="98"/>
    </row>
    <row r="165" spans="2:24">
      <c r="B165" s="7"/>
      <c r="C165" s="7">
        <v>89</v>
      </c>
      <c r="D165" s="24">
        <f t="shared" si="12"/>
        <v>0</v>
      </c>
      <c r="E165" s="103">
        <f t="shared" si="14"/>
        <v>0</v>
      </c>
      <c r="F165" s="53">
        <v>0</v>
      </c>
      <c r="G165" s="24">
        <f t="shared" si="10"/>
        <v>0</v>
      </c>
      <c r="H165" s="15">
        <f>IF(G165&gt;0,0,IF(AND(H164=0,SUM(K165:L165)=0),0,IF(D165=0,PPMT(D$65/12,COUNTIF(D$76:D165,0),D$66,Primary_Loan_Amount),0)))</f>
        <v>0</v>
      </c>
      <c r="I165" s="15">
        <f>-SUM(Primary_Loan_Amount)-SUM(H$76:H165)</f>
        <v>-23217621.943162207</v>
      </c>
      <c r="J165" s="24">
        <f t="shared" si="11"/>
        <v>0</v>
      </c>
      <c r="K165" s="51">
        <f>IF(L165=1,0,IF(SUM(K$81:K164)&gt;=Construction_Timeline,0,1))</f>
        <v>0</v>
      </c>
      <c r="L165" s="13">
        <f t="shared" si="13"/>
        <v>0</v>
      </c>
      <c r="M165" s="54">
        <f t="shared" si="15"/>
        <v>48731</v>
      </c>
      <c r="N165" s="7"/>
      <c r="O165" s="12"/>
      <c r="P165" s="98"/>
      <c r="Q165" s="98"/>
      <c r="R165" s="98"/>
      <c r="S165" s="98"/>
      <c r="T165" s="3"/>
      <c r="U165" s="98"/>
      <c r="V165" s="98"/>
      <c r="W165" s="98"/>
      <c r="X165" s="98"/>
    </row>
    <row r="166" spans="2:24">
      <c r="B166" s="7"/>
      <c r="C166" s="7">
        <v>90</v>
      </c>
      <c r="D166" s="24">
        <f t="shared" si="12"/>
        <v>0</v>
      </c>
      <c r="E166" s="103">
        <f t="shared" si="14"/>
        <v>0</v>
      </c>
      <c r="F166" s="53">
        <v>0</v>
      </c>
      <c r="G166" s="24">
        <f t="shared" si="10"/>
        <v>0</v>
      </c>
      <c r="H166" s="15">
        <f>IF(G166&gt;0,0,IF(AND(H165=0,SUM(K166:L166)=0),0,IF(D166=0,PPMT(D$65/12,COUNTIF(D$76:D166,0),D$66,Primary_Loan_Amount),0)))</f>
        <v>0</v>
      </c>
      <c r="I166" s="15">
        <f>-SUM(Primary_Loan_Amount)-SUM(H$76:H166)</f>
        <v>-23217621.943162207</v>
      </c>
      <c r="J166" s="24">
        <f t="shared" si="11"/>
        <v>0</v>
      </c>
      <c r="K166" s="51">
        <f>IF(L166=1,0,IF(SUM(K$81:K165)&gt;=Construction_Timeline,0,1))</f>
        <v>0</v>
      </c>
      <c r="L166" s="13">
        <f t="shared" si="13"/>
        <v>0</v>
      </c>
      <c r="M166" s="54">
        <f t="shared" si="15"/>
        <v>48761</v>
      </c>
      <c r="N166" s="7"/>
      <c r="O166" s="12"/>
      <c r="P166" s="98"/>
      <c r="Q166" s="98"/>
      <c r="R166" s="98"/>
      <c r="S166" s="98"/>
      <c r="T166" s="3"/>
      <c r="U166" s="98"/>
      <c r="V166" s="98"/>
      <c r="W166" s="98"/>
      <c r="X166" s="98"/>
    </row>
    <row r="167" spans="2:24">
      <c r="B167" s="7"/>
      <c r="C167" s="7">
        <v>91</v>
      </c>
      <c r="D167" s="24">
        <f t="shared" si="12"/>
        <v>0</v>
      </c>
      <c r="E167" s="103">
        <f t="shared" si="14"/>
        <v>0</v>
      </c>
      <c r="F167" s="53">
        <v>0</v>
      </c>
      <c r="G167" s="24">
        <f t="shared" si="10"/>
        <v>0</v>
      </c>
      <c r="H167" s="15">
        <f>IF(G167&gt;0,0,IF(AND(H166=0,SUM(K167:L167)=0),0,IF(D167=0,PPMT(D$65/12,COUNTIF(D$76:D167,0),D$66,Primary_Loan_Amount),0)))</f>
        <v>0</v>
      </c>
      <c r="I167" s="15">
        <f>-SUM(Primary_Loan_Amount)-SUM(H$76:H167)</f>
        <v>-23217621.943162207</v>
      </c>
      <c r="J167" s="24">
        <f t="shared" si="11"/>
        <v>0</v>
      </c>
      <c r="K167" s="51">
        <f>IF(L167=1,0,IF(SUM(K$81:K166)&gt;=Construction_Timeline,0,1))</f>
        <v>0</v>
      </c>
      <c r="L167" s="13">
        <f t="shared" si="13"/>
        <v>0</v>
      </c>
      <c r="M167" s="54">
        <f t="shared" si="15"/>
        <v>48792</v>
      </c>
      <c r="N167" s="7"/>
      <c r="O167" s="12"/>
      <c r="P167" s="98"/>
      <c r="Q167" s="98"/>
      <c r="R167" s="98"/>
      <c r="S167" s="98"/>
      <c r="T167" s="3"/>
      <c r="U167" s="98"/>
      <c r="V167" s="98"/>
      <c r="W167" s="98"/>
      <c r="X167" s="98"/>
    </row>
    <row r="168" spans="2:24">
      <c r="B168" s="7"/>
      <c r="C168" s="7">
        <v>92</v>
      </c>
      <c r="D168" s="24">
        <f t="shared" si="12"/>
        <v>0</v>
      </c>
      <c r="E168" s="103">
        <f t="shared" si="14"/>
        <v>0</v>
      </c>
      <c r="F168" s="53">
        <v>0</v>
      </c>
      <c r="G168" s="24">
        <f t="shared" si="10"/>
        <v>0</v>
      </c>
      <c r="H168" s="15">
        <f>IF(G168&gt;0,0,IF(AND(H167=0,SUM(K168:L168)=0),0,IF(D168=0,PPMT(D$65/12,COUNTIF(D$76:D168,0),D$66,Primary_Loan_Amount),0)))</f>
        <v>0</v>
      </c>
      <c r="I168" s="15">
        <f>-SUM(Primary_Loan_Amount)-SUM(H$76:H168)</f>
        <v>-23217621.943162207</v>
      </c>
      <c r="J168" s="24">
        <f t="shared" si="11"/>
        <v>0</v>
      </c>
      <c r="K168" s="51">
        <f>IF(L168=1,0,IF(SUM(K$81:K167)&gt;=Construction_Timeline,0,1))</f>
        <v>0</v>
      </c>
      <c r="L168" s="13">
        <f t="shared" si="13"/>
        <v>0</v>
      </c>
      <c r="M168" s="54">
        <f t="shared" si="15"/>
        <v>48823</v>
      </c>
      <c r="N168" s="7"/>
      <c r="O168" s="12"/>
      <c r="P168" s="98"/>
      <c r="Q168" s="98"/>
      <c r="R168" s="98"/>
      <c r="S168" s="98"/>
      <c r="T168" s="3"/>
      <c r="U168" s="98"/>
      <c r="V168" s="98"/>
      <c r="W168" s="98"/>
      <c r="X168" s="98"/>
    </row>
    <row r="169" spans="2:24">
      <c r="B169" s="7"/>
      <c r="C169" s="7">
        <v>93</v>
      </c>
      <c r="D169" s="24">
        <f t="shared" si="12"/>
        <v>0</v>
      </c>
      <c r="E169" s="103">
        <f t="shared" si="14"/>
        <v>0</v>
      </c>
      <c r="F169" s="53">
        <v>0</v>
      </c>
      <c r="G169" s="24">
        <f t="shared" si="10"/>
        <v>0</v>
      </c>
      <c r="H169" s="15">
        <f>IF(G169&gt;0,0,IF(AND(H168=0,SUM(K169:L169)=0),0,IF(D169=0,PPMT(D$65/12,COUNTIF(D$76:D169,0),D$66,Primary_Loan_Amount),0)))</f>
        <v>0</v>
      </c>
      <c r="I169" s="15">
        <f>-SUM(Primary_Loan_Amount)-SUM(H$76:H169)</f>
        <v>-23217621.943162207</v>
      </c>
      <c r="J169" s="24">
        <f t="shared" si="11"/>
        <v>0</v>
      </c>
      <c r="K169" s="51">
        <f>IF(L169=1,0,IF(SUM(K$81:K168)&gt;=Construction_Timeline,0,1))</f>
        <v>0</v>
      </c>
      <c r="L169" s="13">
        <f t="shared" si="13"/>
        <v>0</v>
      </c>
      <c r="M169" s="54">
        <f t="shared" si="15"/>
        <v>48853</v>
      </c>
      <c r="N169" s="7"/>
      <c r="O169" s="12"/>
      <c r="P169" s="98"/>
      <c r="Q169" s="98"/>
      <c r="R169" s="98"/>
      <c r="S169" s="98"/>
      <c r="T169" s="3"/>
      <c r="U169" s="98"/>
      <c r="V169" s="98"/>
      <c r="W169" s="98"/>
      <c r="X169" s="98"/>
    </row>
    <row r="170" spans="2:24">
      <c r="B170" s="7"/>
      <c r="C170" s="7">
        <v>94</v>
      </c>
      <c r="D170" s="24">
        <f t="shared" si="12"/>
        <v>0</v>
      </c>
      <c r="E170" s="103">
        <f t="shared" si="14"/>
        <v>0</v>
      </c>
      <c r="F170" s="53">
        <v>0</v>
      </c>
      <c r="G170" s="24">
        <f t="shared" si="10"/>
        <v>0</v>
      </c>
      <c r="H170" s="15">
        <f>IF(G170&gt;0,0,IF(AND(H169=0,SUM(K170:L170)=0),0,IF(D170=0,PPMT(D$65/12,COUNTIF(D$76:D170,0),D$66,Primary_Loan_Amount),0)))</f>
        <v>0</v>
      </c>
      <c r="I170" s="15">
        <f>-SUM(Primary_Loan_Amount)-SUM(H$76:H170)</f>
        <v>-23217621.943162207</v>
      </c>
      <c r="J170" s="24">
        <f t="shared" si="11"/>
        <v>0</v>
      </c>
      <c r="K170" s="51">
        <f>IF(L170=1,0,IF(SUM(K$81:K169)&gt;=Construction_Timeline,0,1))</f>
        <v>0</v>
      </c>
      <c r="L170" s="13">
        <f t="shared" si="13"/>
        <v>0</v>
      </c>
      <c r="M170" s="54">
        <f t="shared" si="15"/>
        <v>48884</v>
      </c>
      <c r="N170" s="7"/>
      <c r="O170" s="12"/>
      <c r="P170" s="98"/>
      <c r="Q170" s="98"/>
      <c r="R170" s="98"/>
      <c r="S170" s="98"/>
      <c r="T170" s="3"/>
      <c r="U170" s="98"/>
      <c r="V170" s="98"/>
      <c r="W170" s="98"/>
      <c r="X170" s="98"/>
    </row>
    <row r="171" spans="2:24">
      <c r="B171" s="7"/>
      <c r="C171" s="7">
        <v>95</v>
      </c>
      <c r="D171" s="24">
        <f t="shared" si="12"/>
        <v>0</v>
      </c>
      <c r="E171" s="103">
        <f t="shared" si="14"/>
        <v>0</v>
      </c>
      <c r="F171" s="53">
        <v>0</v>
      </c>
      <c r="G171" s="24">
        <f t="shared" si="10"/>
        <v>0</v>
      </c>
      <c r="H171" s="15">
        <f>IF(G171&gt;0,0,IF(AND(H170=0,SUM(K171:L171)=0),0,IF(D171=0,PPMT(D$65/12,COUNTIF(D$76:D171,0),D$66,Primary_Loan_Amount),0)))</f>
        <v>0</v>
      </c>
      <c r="I171" s="15">
        <f>-SUM(Primary_Loan_Amount)-SUM(H$76:H171)</f>
        <v>-23217621.943162207</v>
      </c>
      <c r="J171" s="24">
        <f t="shared" si="11"/>
        <v>0</v>
      </c>
      <c r="K171" s="51">
        <f>IF(L171=1,0,IF(SUM(K$81:K170)&gt;=Construction_Timeline,0,1))</f>
        <v>0</v>
      </c>
      <c r="L171" s="13">
        <f t="shared" si="13"/>
        <v>0</v>
      </c>
      <c r="M171" s="54">
        <f t="shared" si="15"/>
        <v>48914</v>
      </c>
      <c r="N171" s="7"/>
      <c r="O171" s="12"/>
      <c r="P171" s="98"/>
      <c r="Q171" s="98"/>
      <c r="R171" s="98"/>
      <c r="S171" s="98"/>
      <c r="T171" s="3"/>
      <c r="U171" s="98"/>
      <c r="V171" s="98"/>
      <c r="W171" s="98"/>
      <c r="X171" s="98"/>
    </row>
    <row r="172" spans="2:24">
      <c r="B172" s="7"/>
      <c r="C172" s="7">
        <v>96</v>
      </c>
      <c r="D172" s="24">
        <f t="shared" si="12"/>
        <v>0</v>
      </c>
      <c r="E172" s="103">
        <f t="shared" si="14"/>
        <v>0</v>
      </c>
      <c r="F172" s="53">
        <v>0</v>
      </c>
      <c r="G172" s="24">
        <f t="shared" ref="G172:G203" si="16">IF(C172=SUM(Month_of_Sale,PreDev_Timeline,Construction_Timeline),Sale_Price*(1-D$64),0)</f>
        <v>0</v>
      </c>
      <c r="H172" s="15">
        <f>IF(G172&gt;0,0,IF(AND(H171=0,SUM(K172:L172)=0),0,IF(D172=0,PPMT(D$65/12,COUNTIF(D$76:D172,0),D$66,Primary_Loan_Amount),0)))</f>
        <v>0</v>
      </c>
      <c r="I172" s="15">
        <f>-SUM(Primary_Loan_Amount)-SUM(H$76:H172)</f>
        <v>-23217621.943162207</v>
      </c>
      <c r="J172" s="24">
        <f t="shared" ref="J172:J203" si="17">SUM(D172,F172,G172)+IF(G172&gt;0,I172)</f>
        <v>0</v>
      </c>
      <c r="K172" s="51">
        <f>IF(L172=1,0,IF(SUM(K$81:K171)&gt;=Construction_Timeline,0,1))</f>
        <v>0</v>
      </c>
      <c r="L172" s="13">
        <f t="shared" si="13"/>
        <v>0</v>
      </c>
      <c r="M172" s="54">
        <f t="shared" si="15"/>
        <v>48945</v>
      </c>
      <c r="N172" s="7"/>
      <c r="O172" s="12"/>
      <c r="P172" s="98"/>
      <c r="Q172" s="98"/>
      <c r="R172" s="98"/>
      <c r="S172" s="98"/>
      <c r="T172" s="3"/>
      <c r="U172" s="98"/>
      <c r="V172" s="98"/>
      <c r="W172" s="98"/>
      <c r="X172" s="98"/>
    </row>
    <row r="173" spans="2:24">
      <c r="B173" s="7"/>
      <c r="C173" s="7">
        <v>97</v>
      </c>
      <c r="D173" s="24">
        <f t="shared" ref="D173:D204" si="18">IF(AND(C172&gt;0,E172&gt;=D172),E172,IF(L173=1,-Pre_Development_Costs/PreDev_Timeline,IF(K173=1,MAX(E172,-D$52/Construction_Timeline),0)))</f>
        <v>0</v>
      </c>
      <c r="E173" s="103">
        <f t="shared" si="14"/>
        <v>0</v>
      </c>
      <c r="F173" s="53">
        <v>0</v>
      </c>
      <c r="G173" s="24">
        <f t="shared" si="16"/>
        <v>0</v>
      </c>
      <c r="H173" s="15">
        <f>IF(G173&gt;0,0,IF(AND(H172=0,SUM(K173:L173)=0),0,IF(D173=0,PPMT(D$65/12,COUNTIF(D$76:D173,0),D$66,Primary_Loan_Amount),0)))</f>
        <v>0</v>
      </c>
      <c r="I173" s="15">
        <f>-SUM(Primary_Loan_Amount)-SUM(H$76:H173)</f>
        <v>-23217621.943162207</v>
      </c>
      <c r="J173" s="24">
        <f t="shared" si="17"/>
        <v>0</v>
      </c>
      <c r="K173" s="51">
        <f>IF(L173=1,0,IF(SUM(K$81:K172)&gt;=Construction_Timeline,0,1))</f>
        <v>0</v>
      </c>
      <c r="L173" s="13">
        <f t="shared" ref="L173:L204" si="19">IF(C173&lt;=PreDev_Timeline,1,0)</f>
        <v>0</v>
      </c>
      <c r="M173" s="54">
        <f t="shared" si="15"/>
        <v>48976</v>
      </c>
      <c r="N173" s="7"/>
      <c r="O173" s="12"/>
      <c r="P173" s="98"/>
      <c r="Q173" s="98"/>
      <c r="R173" s="98"/>
      <c r="S173" s="98"/>
      <c r="T173" s="3"/>
      <c r="U173" s="98"/>
      <c r="V173" s="98"/>
      <c r="W173" s="98"/>
      <c r="X173" s="98"/>
    </row>
    <row r="174" spans="2:24">
      <c r="B174" s="7"/>
      <c r="C174" s="7">
        <v>98</v>
      </c>
      <c r="D174" s="24">
        <f t="shared" si="18"/>
        <v>0</v>
      </c>
      <c r="E174" s="103">
        <f t="shared" si="14"/>
        <v>0</v>
      </c>
      <c r="F174" s="53">
        <v>0</v>
      </c>
      <c r="G174" s="24">
        <f t="shared" si="16"/>
        <v>0</v>
      </c>
      <c r="H174" s="15">
        <f>IF(G174&gt;0,0,IF(AND(H173=0,SUM(K174:L174)=0),0,IF(D174=0,PPMT(D$65/12,COUNTIF(D$76:D174,0),D$66,Primary_Loan_Amount),0)))</f>
        <v>0</v>
      </c>
      <c r="I174" s="15">
        <f>-SUM(Primary_Loan_Amount)-SUM(H$76:H174)</f>
        <v>-23217621.943162207</v>
      </c>
      <c r="J174" s="24">
        <f t="shared" si="17"/>
        <v>0</v>
      </c>
      <c r="K174" s="51">
        <f>IF(L174=1,0,IF(SUM(K$81:K173)&gt;=Construction_Timeline,0,1))</f>
        <v>0</v>
      </c>
      <c r="L174" s="13">
        <f t="shared" si="19"/>
        <v>0</v>
      </c>
      <c r="M174" s="54">
        <f t="shared" si="15"/>
        <v>49004</v>
      </c>
      <c r="N174" s="7"/>
      <c r="O174" s="12"/>
      <c r="P174" s="98"/>
      <c r="Q174" s="98"/>
      <c r="R174" s="98"/>
      <c r="S174" s="98"/>
      <c r="T174" s="3"/>
      <c r="U174" s="98"/>
      <c r="V174" s="98"/>
      <c r="W174" s="98"/>
      <c r="X174" s="98"/>
    </row>
    <row r="175" spans="2:24">
      <c r="B175" s="7"/>
      <c r="C175" s="7">
        <v>99</v>
      </c>
      <c r="D175" s="24">
        <f t="shared" si="18"/>
        <v>0</v>
      </c>
      <c r="E175" s="103">
        <f t="shared" si="14"/>
        <v>0</v>
      </c>
      <c r="F175" s="53">
        <v>0</v>
      </c>
      <c r="G175" s="24">
        <f t="shared" si="16"/>
        <v>0</v>
      </c>
      <c r="H175" s="15">
        <f>IF(G175&gt;0,0,IF(AND(H174=0,SUM(K175:L175)=0),0,IF(D175=0,PPMT(D$65/12,COUNTIF(D$76:D175,0),D$66,Primary_Loan_Amount),0)))</f>
        <v>0</v>
      </c>
      <c r="I175" s="15">
        <f>-SUM(Primary_Loan_Amount)-SUM(H$76:H175)</f>
        <v>-23217621.943162207</v>
      </c>
      <c r="J175" s="24">
        <f t="shared" si="17"/>
        <v>0</v>
      </c>
      <c r="K175" s="51">
        <f>IF(L175=1,0,IF(SUM(K$81:K174)&gt;=Construction_Timeline,0,1))</f>
        <v>0</v>
      </c>
      <c r="L175" s="13">
        <f t="shared" si="19"/>
        <v>0</v>
      </c>
      <c r="M175" s="54">
        <f t="shared" si="15"/>
        <v>49035</v>
      </c>
      <c r="N175" s="7"/>
      <c r="O175" s="12"/>
      <c r="P175" s="98"/>
      <c r="Q175" s="98"/>
      <c r="R175" s="98"/>
      <c r="S175" s="98"/>
      <c r="T175" s="3"/>
      <c r="U175" s="98"/>
      <c r="V175" s="98"/>
      <c r="W175" s="98"/>
      <c r="X175" s="98"/>
    </row>
    <row r="176" spans="2:24">
      <c r="B176" s="7"/>
      <c r="C176" s="7">
        <v>100</v>
      </c>
      <c r="D176" s="24">
        <f t="shared" si="18"/>
        <v>0</v>
      </c>
      <c r="E176" s="103">
        <f t="shared" si="14"/>
        <v>0</v>
      </c>
      <c r="F176" s="53">
        <v>0</v>
      </c>
      <c r="G176" s="24">
        <f t="shared" si="16"/>
        <v>0</v>
      </c>
      <c r="H176" s="15">
        <f>IF(G176&gt;0,0,IF(AND(H175=0,SUM(K176:L176)=0),0,IF(D176=0,PPMT(D$65/12,COUNTIF(D$76:D176,0),D$66,Primary_Loan_Amount),0)))</f>
        <v>0</v>
      </c>
      <c r="I176" s="15">
        <f>-SUM(Primary_Loan_Amount)-SUM(H$76:H176)</f>
        <v>-23217621.943162207</v>
      </c>
      <c r="J176" s="24">
        <f t="shared" si="17"/>
        <v>0</v>
      </c>
      <c r="K176" s="51">
        <f>IF(L176=1,0,IF(SUM(K$81:K175)&gt;=Construction_Timeline,0,1))</f>
        <v>0</v>
      </c>
      <c r="L176" s="13">
        <f t="shared" si="19"/>
        <v>0</v>
      </c>
      <c r="M176" s="54">
        <f t="shared" si="15"/>
        <v>49065</v>
      </c>
      <c r="N176" s="7"/>
      <c r="O176" s="12"/>
      <c r="P176" s="98"/>
      <c r="Q176" s="98"/>
      <c r="R176" s="98"/>
      <c r="S176" s="98"/>
      <c r="T176" s="3"/>
      <c r="U176" s="98"/>
      <c r="V176" s="98"/>
      <c r="W176" s="98"/>
      <c r="X176" s="98"/>
    </row>
    <row r="177" spans="2:24">
      <c r="B177" s="7"/>
      <c r="C177" s="7">
        <v>101</v>
      </c>
      <c r="D177" s="24">
        <f t="shared" si="18"/>
        <v>0</v>
      </c>
      <c r="E177" s="103">
        <f t="shared" si="14"/>
        <v>0</v>
      </c>
      <c r="F177" s="53">
        <v>0</v>
      </c>
      <c r="G177" s="24">
        <f t="shared" si="16"/>
        <v>0</v>
      </c>
      <c r="H177" s="15">
        <f>IF(G177&gt;0,0,IF(AND(H176=0,SUM(K177:L177)=0),0,IF(D177=0,PPMT(D$65/12,COUNTIF(D$76:D177,0),D$66,Primary_Loan_Amount),0)))</f>
        <v>0</v>
      </c>
      <c r="I177" s="15">
        <f>-SUM(Primary_Loan_Amount)-SUM(H$76:H177)</f>
        <v>-23217621.943162207</v>
      </c>
      <c r="J177" s="24">
        <f t="shared" si="17"/>
        <v>0</v>
      </c>
      <c r="K177" s="51">
        <f>IF(L177=1,0,IF(SUM(K$81:K176)&gt;=Construction_Timeline,0,1))</f>
        <v>0</v>
      </c>
      <c r="L177" s="13">
        <f t="shared" si="19"/>
        <v>0</v>
      </c>
      <c r="M177" s="54">
        <f t="shared" si="15"/>
        <v>49096</v>
      </c>
      <c r="N177" s="7"/>
      <c r="O177" s="12"/>
      <c r="P177" s="98"/>
      <c r="Q177" s="98"/>
      <c r="R177" s="98"/>
      <c r="S177" s="98"/>
      <c r="T177" s="3"/>
      <c r="U177" s="98"/>
      <c r="V177" s="98"/>
      <c r="W177" s="98"/>
      <c r="X177" s="98"/>
    </row>
    <row r="178" spans="2:24">
      <c r="B178" s="7"/>
      <c r="C178" s="7">
        <v>102</v>
      </c>
      <c r="D178" s="24">
        <f t="shared" si="18"/>
        <v>0</v>
      </c>
      <c r="E178" s="103">
        <f t="shared" si="14"/>
        <v>0</v>
      </c>
      <c r="F178" s="53">
        <v>0</v>
      </c>
      <c r="G178" s="24">
        <f t="shared" si="16"/>
        <v>0</v>
      </c>
      <c r="H178" s="15">
        <f>IF(G178&gt;0,0,IF(AND(H177=0,SUM(K178:L178)=0),0,IF(D178=0,PPMT(D$65/12,COUNTIF(D$76:D178,0),D$66,Primary_Loan_Amount),0)))</f>
        <v>0</v>
      </c>
      <c r="I178" s="15">
        <f>-SUM(Primary_Loan_Amount)-SUM(H$76:H178)</f>
        <v>-23217621.943162207</v>
      </c>
      <c r="J178" s="24">
        <f t="shared" si="17"/>
        <v>0</v>
      </c>
      <c r="K178" s="51">
        <f>IF(L178=1,0,IF(SUM(K$81:K177)&gt;=Construction_Timeline,0,1))</f>
        <v>0</v>
      </c>
      <c r="L178" s="13">
        <f t="shared" si="19"/>
        <v>0</v>
      </c>
      <c r="M178" s="54">
        <f t="shared" si="15"/>
        <v>49126</v>
      </c>
      <c r="N178" s="7"/>
      <c r="O178" s="12"/>
      <c r="P178" s="98"/>
      <c r="Q178" s="98"/>
      <c r="R178" s="98"/>
      <c r="S178" s="98"/>
      <c r="T178" s="3"/>
      <c r="U178" s="98"/>
      <c r="V178" s="98"/>
      <c r="W178" s="98"/>
      <c r="X178" s="98"/>
    </row>
    <row r="179" spans="2:24">
      <c r="B179" s="7"/>
      <c r="C179" s="7">
        <v>103</v>
      </c>
      <c r="D179" s="24">
        <f t="shared" si="18"/>
        <v>0</v>
      </c>
      <c r="E179" s="103">
        <f t="shared" si="14"/>
        <v>0</v>
      </c>
      <c r="F179" s="53">
        <v>0</v>
      </c>
      <c r="G179" s="24">
        <f t="shared" si="16"/>
        <v>0</v>
      </c>
      <c r="H179" s="15">
        <f>IF(G179&gt;0,0,IF(AND(H178=0,SUM(K179:L179)=0),0,IF(D179=0,PPMT(D$65/12,COUNTIF(D$76:D179,0),D$66,Primary_Loan_Amount),0)))</f>
        <v>0</v>
      </c>
      <c r="I179" s="15">
        <f>-SUM(Primary_Loan_Amount)-SUM(H$76:H179)</f>
        <v>-23217621.943162207</v>
      </c>
      <c r="J179" s="24">
        <f t="shared" si="17"/>
        <v>0</v>
      </c>
      <c r="K179" s="51">
        <f>IF(L179=1,0,IF(SUM(K$81:K178)&gt;=Construction_Timeline,0,1))</f>
        <v>0</v>
      </c>
      <c r="L179" s="13">
        <f t="shared" si="19"/>
        <v>0</v>
      </c>
      <c r="M179" s="54">
        <f t="shared" si="15"/>
        <v>49157</v>
      </c>
      <c r="N179" s="7"/>
      <c r="O179" s="12"/>
      <c r="P179" s="98"/>
      <c r="Q179" s="98"/>
      <c r="R179" s="98"/>
      <c r="S179" s="98"/>
      <c r="T179" s="3"/>
      <c r="U179" s="98"/>
      <c r="V179" s="98"/>
      <c r="W179" s="98"/>
      <c r="X179" s="98"/>
    </row>
    <row r="180" spans="2:24">
      <c r="B180" s="7"/>
      <c r="C180" s="7">
        <v>104</v>
      </c>
      <c r="D180" s="24">
        <f t="shared" si="18"/>
        <v>0</v>
      </c>
      <c r="E180" s="103">
        <f t="shared" si="14"/>
        <v>0</v>
      </c>
      <c r="F180" s="53">
        <v>0</v>
      </c>
      <c r="G180" s="24">
        <f t="shared" si="16"/>
        <v>0</v>
      </c>
      <c r="H180" s="15">
        <f>IF(G180&gt;0,0,IF(AND(H179=0,SUM(K180:L180)=0),0,IF(D180=0,PPMT(D$65/12,COUNTIF(D$76:D180,0),D$66,Primary_Loan_Amount),0)))</f>
        <v>0</v>
      </c>
      <c r="I180" s="15">
        <f>-SUM(Primary_Loan_Amount)-SUM(H$76:H180)</f>
        <v>-23217621.943162207</v>
      </c>
      <c r="J180" s="24">
        <f t="shared" si="17"/>
        <v>0</v>
      </c>
      <c r="K180" s="51">
        <f>IF(L180=1,0,IF(SUM(K$81:K179)&gt;=Construction_Timeline,0,1))</f>
        <v>0</v>
      </c>
      <c r="L180" s="13">
        <f t="shared" si="19"/>
        <v>0</v>
      </c>
      <c r="M180" s="54">
        <f t="shared" si="15"/>
        <v>49188</v>
      </c>
      <c r="N180" s="7"/>
      <c r="O180" s="12"/>
      <c r="P180" s="98"/>
      <c r="Q180" s="98"/>
      <c r="R180" s="98"/>
      <c r="S180" s="98"/>
      <c r="T180" s="3"/>
      <c r="U180" s="98"/>
      <c r="V180" s="98"/>
      <c r="W180" s="98"/>
      <c r="X180" s="98"/>
    </row>
    <row r="181" spans="2:24">
      <c r="B181" s="7"/>
      <c r="C181" s="7">
        <v>105</v>
      </c>
      <c r="D181" s="24">
        <f t="shared" si="18"/>
        <v>0</v>
      </c>
      <c r="E181" s="103">
        <f t="shared" si="14"/>
        <v>0</v>
      </c>
      <c r="F181" s="53">
        <v>0</v>
      </c>
      <c r="G181" s="24">
        <f t="shared" si="16"/>
        <v>0</v>
      </c>
      <c r="H181" s="15">
        <f>IF(G181&gt;0,0,IF(AND(H180=0,SUM(K181:L181)=0),0,IF(D181=0,PPMT(D$65/12,COUNTIF(D$76:D181,0),D$66,Primary_Loan_Amount),0)))</f>
        <v>0</v>
      </c>
      <c r="I181" s="15">
        <f>-SUM(Primary_Loan_Amount)-SUM(H$76:H181)</f>
        <v>-23217621.943162207</v>
      </c>
      <c r="J181" s="24">
        <f t="shared" si="17"/>
        <v>0</v>
      </c>
      <c r="K181" s="51">
        <f>IF(L181=1,0,IF(SUM(K$81:K180)&gt;=Construction_Timeline,0,1))</f>
        <v>0</v>
      </c>
      <c r="L181" s="13">
        <f t="shared" si="19"/>
        <v>0</v>
      </c>
      <c r="M181" s="54">
        <f t="shared" si="15"/>
        <v>49218</v>
      </c>
      <c r="N181" s="7"/>
      <c r="O181" s="12"/>
      <c r="P181" s="98"/>
      <c r="Q181" s="98"/>
      <c r="R181" s="98"/>
      <c r="S181" s="98"/>
      <c r="T181" s="3"/>
      <c r="U181" s="98"/>
      <c r="V181" s="98"/>
      <c r="W181" s="98"/>
      <c r="X181" s="98"/>
    </row>
    <row r="182" spans="2:24">
      <c r="B182" s="7"/>
      <c r="C182" s="7">
        <v>106</v>
      </c>
      <c r="D182" s="24">
        <f t="shared" si="18"/>
        <v>0</v>
      </c>
      <c r="E182" s="103">
        <f t="shared" si="14"/>
        <v>0</v>
      </c>
      <c r="F182" s="53">
        <v>0</v>
      </c>
      <c r="G182" s="24">
        <f t="shared" si="16"/>
        <v>0</v>
      </c>
      <c r="H182" s="15">
        <f>IF(G182&gt;0,0,IF(AND(H181=0,SUM(K182:L182)=0),0,IF(D182=0,PPMT(D$65/12,COUNTIF(D$76:D182,0),D$66,Primary_Loan_Amount),0)))</f>
        <v>0</v>
      </c>
      <c r="I182" s="15">
        <f>-SUM(Primary_Loan_Amount)-SUM(H$76:H182)</f>
        <v>-23217621.943162207</v>
      </c>
      <c r="J182" s="24">
        <f t="shared" si="17"/>
        <v>0</v>
      </c>
      <c r="K182" s="51">
        <f>IF(L182=1,0,IF(SUM(K$81:K181)&gt;=Construction_Timeline,0,1))</f>
        <v>0</v>
      </c>
      <c r="L182" s="13">
        <f t="shared" si="19"/>
        <v>0</v>
      </c>
      <c r="M182" s="54">
        <f t="shared" si="15"/>
        <v>49249</v>
      </c>
      <c r="N182" s="7"/>
      <c r="O182" s="12"/>
      <c r="P182" s="98"/>
      <c r="Q182" s="98"/>
      <c r="R182" s="98"/>
      <c r="S182" s="98"/>
      <c r="T182" s="3"/>
      <c r="U182" s="98"/>
      <c r="V182" s="98"/>
      <c r="W182" s="98"/>
      <c r="X182" s="98"/>
    </row>
    <row r="183" spans="2:24">
      <c r="B183" s="7"/>
      <c r="C183" s="7">
        <v>107</v>
      </c>
      <c r="D183" s="24">
        <f t="shared" si="18"/>
        <v>0</v>
      </c>
      <c r="E183" s="103">
        <f t="shared" si="14"/>
        <v>0</v>
      </c>
      <c r="F183" s="53">
        <v>0</v>
      </c>
      <c r="G183" s="24">
        <f t="shared" si="16"/>
        <v>0</v>
      </c>
      <c r="H183" s="15">
        <f>IF(G183&gt;0,0,IF(AND(H182=0,SUM(K183:L183)=0),0,IF(D183=0,PPMT(D$65/12,COUNTIF(D$76:D183,0),D$66,Primary_Loan_Amount),0)))</f>
        <v>0</v>
      </c>
      <c r="I183" s="15">
        <f>-SUM(Primary_Loan_Amount)-SUM(H$76:H183)</f>
        <v>-23217621.943162207</v>
      </c>
      <c r="J183" s="24">
        <f t="shared" si="17"/>
        <v>0</v>
      </c>
      <c r="K183" s="51">
        <f>IF(L183=1,0,IF(SUM(K$81:K182)&gt;=Construction_Timeline,0,1))</f>
        <v>0</v>
      </c>
      <c r="L183" s="13">
        <f t="shared" si="19"/>
        <v>0</v>
      </c>
      <c r="M183" s="54">
        <f t="shared" si="15"/>
        <v>49279</v>
      </c>
      <c r="N183" s="7"/>
      <c r="O183" s="12"/>
      <c r="P183" s="98"/>
      <c r="Q183" s="98"/>
      <c r="R183" s="98"/>
      <c r="S183" s="98"/>
      <c r="T183" s="3"/>
      <c r="U183" s="98"/>
      <c r="V183" s="98"/>
      <c r="W183" s="98"/>
      <c r="X183" s="98"/>
    </row>
    <row r="184" spans="2:24">
      <c r="B184" s="7"/>
      <c r="C184" s="7">
        <v>108</v>
      </c>
      <c r="D184" s="24">
        <f t="shared" si="18"/>
        <v>0</v>
      </c>
      <c r="E184" s="103">
        <f t="shared" si="14"/>
        <v>0</v>
      </c>
      <c r="F184" s="53">
        <v>0</v>
      </c>
      <c r="G184" s="24">
        <f t="shared" si="16"/>
        <v>0</v>
      </c>
      <c r="H184" s="15">
        <f>IF(G184&gt;0,0,IF(AND(H183=0,SUM(K184:L184)=0),0,IF(D184=0,PPMT(D$65/12,COUNTIF(D$76:D184,0),D$66,Primary_Loan_Amount),0)))</f>
        <v>0</v>
      </c>
      <c r="I184" s="15">
        <f>-SUM(Primary_Loan_Amount)-SUM(H$76:H184)</f>
        <v>-23217621.943162207</v>
      </c>
      <c r="J184" s="24">
        <f t="shared" si="17"/>
        <v>0</v>
      </c>
      <c r="K184" s="51">
        <f>IF(L184=1,0,IF(SUM(K$81:K183)&gt;=Construction_Timeline,0,1))</f>
        <v>0</v>
      </c>
      <c r="L184" s="13">
        <f t="shared" si="19"/>
        <v>0</v>
      </c>
      <c r="M184" s="54">
        <f t="shared" si="15"/>
        <v>49310</v>
      </c>
      <c r="N184" s="7"/>
      <c r="O184" s="12"/>
      <c r="P184" s="98"/>
      <c r="Q184" s="98"/>
      <c r="R184" s="98"/>
      <c r="S184" s="98"/>
      <c r="T184" s="3"/>
      <c r="U184" s="98"/>
      <c r="V184" s="98"/>
      <c r="W184" s="98"/>
      <c r="X184" s="98"/>
    </row>
    <row r="185" spans="2:24">
      <c r="B185" s="7"/>
      <c r="C185" s="7">
        <v>109</v>
      </c>
      <c r="D185" s="24">
        <f t="shared" si="18"/>
        <v>0</v>
      </c>
      <c r="E185" s="103">
        <f t="shared" si="14"/>
        <v>0</v>
      </c>
      <c r="F185" s="53">
        <v>0</v>
      </c>
      <c r="G185" s="24">
        <f t="shared" si="16"/>
        <v>0</v>
      </c>
      <c r="H185" s="15">
        <f>IF(G185&gt;0,0,IF(AND(H184=0,SUM(K185:L185)=0),0,IF(D185=0,PPMT(D$65/12,COUNTIF(D$76:D185,0),D$66,Primary_Loan_Amount),0)))</f>
        <v>0</v>
      </c>
      <c r="I185" s="15">
        <f>-SUM(Primary_Loan_Amount)-SUM(H$76:H185)</f>
        <v>-23217621.943162207</v>
      </c>
      <c r="J185" s="24">
        <f t="shared" si="17"/>
        <v>0</v>
      </c>
      <c r="K185" s="51">
        <f>IF(L185=1,0,IF(SUM(K$81:K184)&gt;=Construction_Timeline,0,1))</f>
        <v>0</v>
      </c>
      <c r="L185" s="13">
        <f t="shared" si="19"/>
        <v>0</v>
      </c>
      <c r="M185" s="54">
        <f t="shared" si="15"/>
        <v>49341</v>
      </c>
      <c r="N185" s="7"/>
      <c r="O185" s="12"/>
      <c r="P185" s="98"/>
      <c r="Q185" s="98"/>
      <c r="R185" s="98"/>
      <c r="S185" s="98"/>
      <c r="T185" s="3"/>
      <c r="U185" s="98"/>
      <c r="V185" s="98"/>
      <c r="W185" s="98"/>
      <c r="X185" s="98"/>
    </row>
    <row r="186" spans="2:24">
      <c r="B186" s="7"/>
      <c r="C186" s="7">
        <v>110</v>
      </c>
      <c r="D186" s="24">
        <f t="shared" si="18"/>
        <v>0</v>
      </c>
      <c r="E186" s="103">
        <f t="shared" si="14"/>
        <v>0</v>
      </c>
      <c r="F186" s="53">
        <v>0</v>
      </c>
      <c r="G186" s="24">
        <f t="shared" si="16"/>
        <v>0</v>
      </c>
      <c r="H186" s="15">
        <f>IF(G186&gt;0,0,IF(AND(H185=0,SUM(K186:L186)=0),0,IF(D186=0,PPMT(D$65/12,COUNTIF(D$76:D186,0),D$66,Primary_Loan_Amount),0)))</f>
        <v>0</v>
      </c>
      <c r="I186" s="15">
        <f>-SUM(Primary_Loan_Amount)-SUM(H$76:H186)</f>
        <v>-23217621.943162207</v>
      </c>
      <c r="J186" s="24">
        <f t="shared" si="17"/>
        <v>0</v>
      </c>
      <c r="K186" s="51">
        <f>IF(L186=1,0,IF(SUM(K$81:K185)&gt;=Construction_Timeline,0,1))</f>
        <v>0</v>
      </c>
      <c r="L186" s="13">
        <f t="shared" si="19"/>
        <v>0</v>
      </c>
      <c r="M186" s="54">
        <f t="shared" si="15"/>
        <v>49369</v>
      </c>
      <c r="N186" s="7"/>
      <c r="O186" s="12"/>
      <c r="P186" s="98"/>
      <c r="Q186" s="98"/>
      <c r="R186" s="98"/>
      <c r="S186" s="98"/>
      <c r="T186" s="3"/>
      <c r="U186" s="98"/>
      <c r="V186" s="98"/>
      <c r="W186" s="98"/>
      <c r="X186" s="98"/>
    </row>
    <row r="187" spans="2:24">
      <c r="B187" s="7"/>
      <c r="C187" s="7">
        <v>111</v>
      </c>
      <c r="D187" s="24">
        <f t="shared" si="18"/>
        <v>0</v>
      </c>
      <c r="E187" s="103">
        <f t="shared" si="14"/>
        <v>0</v>
      </c>
      <c r="F187" s="53">
        <v>0</v>
      </c>
      <c r="G187" s="24">
        <f t="shared" si="16"/>
        <v>0</v>
      </c>
      <c r="H187" s="15">
        <f>IF(G187&gt;0,0,IF(AND(H186=0,SUM(K187:L187)=0),0,IF(D187=0,PPMT(D$65/12,COUNTIF(D$76:D187,0),D$66,Primary_Loan_Amount),0)))</f>
        <v>0</v>
      </c>
      <c r="I187" s="15">
        <f>-SUM(Primary_Loan_Amount)-SUM(H$76:H187)</f>
        <v>-23217621.943162207</v>
      </c>
      <c r="J187" s="24">
        <f t="shared" si="17"/>
        <v>0</v>
      </c>
      <c r="K187" s="51">
        <f>IF(L187=1,0,IF(SUM(K$81:K186)&gt;=Construction_Timeline,0,1))</f>
        <v>0</v>
      </c>
      <c r="L187" s="13">
        <f t="shared" si="19"/>
        <v>0</v>
      </c>
      <c r="M187" s="54">
        <f t="shared" si="15"/>
        <v>49400</v>
      </c>
      <c r="N187" s="7"/>
      <c r="O187" s="12"/>
      <c r="P187" s="98"/>
      <c r="Q187" s="98"/>
      <c r="R187" s="98"/>
      <c r="S187" s="98"/>
      <c r="T187" s="3"/>
      <c r="U187" s="98"/>
      <c r="V187" s="98"/>
      <c r="W187" s="98"/>
      <c r="X187" s="98"/>
    </row>
    <row r="188" spans="2:24">
      <c r="B188" s="7"/>
      <c r="C188" s="7">
        <v>112</v>
      </c>
      <c r="D188" s="24">
        <f t="shared" si="18"/>
        <v>0</v>
      </c>
      <c r="E188" s="103">
        <f t="shared" si="14"/>
        <v>0</v>
      </c>
      <c r="F188" s="53">
        <v>0</v>
      </c>
      <c r="G188" s="24">
        <f t="shared" si="16"/>
        <v>0</v>
      </c>
      <c r="H188" s="15">
        <f>IF(G188&gt;0,0,IF(AND(H187=0,SUM(K188:L188)=0),0,IF(D188=0,PPMT(D$65/12,COUNTIF(D$76:D188,0),D$66,Primary_Loan_Amount),0)))</f>
        <v>0</v>
      </c>
      <c r="I188" s="15">
        <f>-SUM(Primary_Loan_Amount)-SUM(H$76:H188)</f>
        <v>-23217621.943162207</v>
      </c>
      <c r="J188" s="24">
        <f t="shared" si="17"/>
        <v>0</v>
      </c>
      <c r="K188" s="51">
        <f>IF(L188=1,0,IF(SUM(K$81:K187)&gt;=Construction_Timeline,0,1))</f>
        <v>0</v>
      </c>
      <c r="L188" s="13">
        <f t="shared" si="19"/>
        <v>0</v>
      </c>
      <c r="M188" s="54">
        <f t="shared" si="15"/>
        <v>49430</v>
      </c>
      <c r="N188" s="7"/>
      <c r="O188" s="12"/>
      <c r="P188" s="98"/>
      <c r="Q188" s="98"/>
      <c r="R188" s="98"/>
      <c r="S188" s="98"/>
      <c r="T188" s="3"/>
      <c r="U188" s="98"/>
      <c r="V188" s="98"/>
      <c r="W188" s="98"/>
      <c r="X188" s="98"/>
    </row>
    <row r="189" spans="2:24">
      <c r="B189" s="7"/>
      <c r="C189" s="7">
        <v>113</v>
      </c>
      <c r="D189" s="24">
        <f t="shared" si="18"/>
        <v>0</v>
      </c>
      <c r="E189" s="103">
        <f t="shared" si="14"/>
        <v>0</v>
      </c>
      <c r="F189" s="53">
        <v>0</v>
      </c>
      <c r="G189" s="24">
        <f t="shared" si="16"/>
        <v>0</v>
      </c>
      <c r="H189" s="15">
        <f>IF(G189&gt;0,0,IF(AND(H188=0,SUM(K189:L189)=0),0,IF(D189=0,PPMT(D$65/12,COUNTIF(D$76:D189,0),D$66,Primary_Loan_Amount),0)))</f>
        <v>0</v>
      </c>
      <c r="I189" s="15">
        <f>-SUM(Primary_Loan_Amount)-SUM(H$76:H189)</f>
        <v>-23217621.943162207</v>
      </c>
      <c r="J189" s="24">
        <f t="shared" si="17"/>
        <v>0</v>
      </c>
      <c r="K189" s="51">
        <f>IF(L189=1,0,IF(SUM(K$81:K188)&gt;=Construction_Timeline,0,1))</f>
        <v>0</v>
      </c>
      <c r="L189" s="13">
        <f t="shared" si="19"/>
        <v>0</v>
      </c>
      <c r="M189" s="54">
        <f t="shared" si="15"/>
        <v>49461</v>
      </c>
      <c r="N189" s="7"/>
      <c r="O189" s="12"/>
      <c r="P189" s="98"/>
      <c r="Q189" s="98"/>
      <c r="R189" s="98"/>
      <c r="S189" s="98"/>
      <c r="T189" s="3"/>
      <c r="U189" s="98"/>
      <c r="V189" s="98"/>
      <c r="W189" s="98"/>
      <c r="X189" s="98"/>
    </row>
    <row r="190" spans="2:24">
      <c r="B190" s="7"/>
      <c r="C190" s="7">
        <v>114</v>
      </c>
      <c r="D190" s="24">
        <f t="shared" si="18"/>
        <v>0</v>
      </c>
      <c r="E190" s="103">
        <f t="shared" si="14"/>
        <v>0</v>
      </c>
      <c r="F190" s="53">
        <v>0</v>
      </c>
      <c r="G190" s="24">
        <f t="shared" si="16"/>
        <v>0</v>
      </c>
      <c r="H190" s="15">
        <f>IF(G190&gt;0,0,IF(AND(H189=0,SUM(K190:L190)=0),0,IF(D190=0,PPMT(D$65/12,COUNTIF(D$76:D190,0),D$66,Primary_Loan_Amount),0)))</f>
        <v>0</v>
      </c>
      <c r="I190" s="15">
        <f>-SUM(Primary_Loan_Amount)-SUM(H$76:H190)</f>
        <v>-23217621.943162207</v>
      </c>
      <c r="J190" s="24">
        <f t="shared" si="17"/>
        <v>0</v>
      </c>
      <c r="K190" s="51">
        <f>IF(L190=1,0,IF(SUM(K$81:K189)&gt;=Construction_Timeline,0,1))</f>
        <v>0</v>
      </c>
      <c r="L190" s="13">
        <f t="shared" si="19"/>
        <v>0</v>
      </c>
      <c r="M190" s="54">
        <f t="shared" si="15"/>
        <v>49491</v>
      </c>
      <c r="N190" s="7"/>
      <c r="O190" s="12"/>
      <c r="P190" s="98"/>
      <c r="Q190" s="98"/>
      <c r="R190" s="98"/>
      <c r="S190" s="98"/>
      <c r="T190" s="3"/>
      <c r="U190" s="98"/>
      <c r="V190" s="98"/>
      <c r="W190" s="98"/>
      <c r="X190" s="98"/>
    </row>
    <row r="191" spans="2:24">
      <c r="B191" s="7"/>
      <c r="C191" s="7">
        <v>115</v>
      </c>
      <c r="D191" s="24">
        <f t="shared" si="18"/>
        <v>0</v>
      </c>
      <c r="E191" s="103">
        <f t="shared" si="14"/>
        <v>0</v>
      </c>
      <c r="F191" s="53">
        <v>0</v>
      </c>
      <c r="G191" s="24">
        <f t="shared" si="16"/>
        <v>0</v>
      </c>
      <c r="H191" s="15">
        <f>IF(G191&gt;0,0,IF(AND(H190=0,SUM(K191:L191)=0),0,IF(D191=0,PPMT(D$65/12,COUNTIF(D$76:D191,0),D$66,Primary_Loan_Amount),0)))</f>
        <v>0</v>
      </c>
      <c r="I191" s="15">
        <f>-SUM(Primary_Loan_Amount)-SUM(H$76:H191)</f>
        <v>-23217621.943162207</v>
      </c>
      <c r="J191" s="24">
        <f t="shared" si="17"/>
        <v>0</v>
      </c>
      <c r="K191" s="51">
        <f>IF(L191=1,0,IF(SUM(K$81:K190)&gt;=Construction_Timeline,0,1))</f>
        <v>0</v>
      </c>
      <c r="L191" s="13">
        <f t="shared" si="19"/>
        <v>0</v>
      </c>
      <c r="M191" s="54">
        <f t="shared" si="15"/>
        <v>49522</v>
      </c>
      <c r="N191" s="7"/>
      <c r="O191" s="12"/>
      <c r="P191" s="98"/>
      <c r="Q191" s="98"/>
      <c r="R191" s="98"/>
      <c r="S191" s="98"/>
      <c r="T191" s="3"/>
      <c r="U191" s="98"/>
      <c r="V191" s="98"/>
      <c r="W191" s="98"/>
      <c r="X191" s="98"/>
    </row>
    <row r="192" spans="2:24">
      <c r="B192" s="7"/>
      <c r="C192" s="7">
        <v>116</v>
      </c>
      <c r="D192" s="24">
        <f t="shared" si="18"/>
        <v>0</v>
      </c>
      <c r="E192" s="103">
        <f t="shared" si="14"/>
        <v>0</v>
      </c>
      <c r="F192" s="53">
        <v>0</v>
      </c>
      <c r="G192" s="24">
        <f t="shared" si="16"/>
        <v>0</v>
      </c>
      <c r="H192" s="15">
        <f>IF(G192&gt;0,0,IF(AND(H191=0,SUM(K192:L192)=0),0,IF(D192=0,PPMT(D$65/12,COUNTIF(D$76:D192,0),D$66,Primary_Loan_Amount),0)))</f>
        <v>0</v>
      </c>
      <c r="I192" s="15">
        <f>-SUM(Primary_Loan_Amount)-SUM(H$76:H192)</f>
        <v>-23217621.943162207</v>
      </c>
      <c r="J192" s="24">
        <f t="shared" si="17"/>
        <v>0</v>
      </c>
      <c r="K192" s="51">
        <f>IF(L192=1,0,IF(SUM(K$81:K191)&gt;=Construction_Timeline,0,1))</f>
        <v>0</v>
      </c>
      <c r="L192" s="13">
        <f t="shared" si="19"/>
        <v>0</v>
      </c>
      <c r="M192" s="54">
        <f t="shared" si="15"/>
        <v>49553</v>
      </c>
      <c r="N192" s="7"/>
      <c r="O192" s="12"/>
      <c r="P192" s="98"/>
      <c r="Q192" s="98"/>
      <c r="R192" s="98"/>
      <c r="S192" s="98"/>
      <c r="T192" s="3"/>
      <c r="U192" s="98"/>
      <c r="V192" s="98"/>
      <c r="W192" s="98"/>
      <c r="X192" s="98"/>
    </row>
    <row r="193" spans="2:24">
      <c r="B193" s="7"/>
      <c r="C193" s="7">
        <v>117</v>
      </c>
      <c r="D193" s="24">
        <f t="shared" si="18"/>
        <v>0</v>
      </c>
      <c r="E193" s="103">
        <f t="shared" si="14"/>
        <v>0</v>
      </c>
      <c r="F193" s="53">
        <v>0</v>
      </c>
      <c r="G193" s="24">
        <f t="shared" si="16"/>
        <v>0</v>
      </c>
      <c r="H193" s="15">
        <f>IF(G193&gt;0,0,IF(AND(H192=0,SUM(K193:L193)=0),0,IF(D193=0,PPMT(D$65/12,COUNTIF(D$76:D193,0),D$66,Primary_Loan_Amount),0)))</f>
        <v>0</v>
      </c>
      <c r="I193" s="15">
        <f>-SUM(Primary_Loan_Amount)-SUM(H$76:H193)</f>
        <v>-23217621.943162207</v>
      </c>
      <c r="J193" s="24">
        <f t="shared" si="17"/>
        <v>0</v>
      </c>
      <c r="K193" s="51">
        <f>IF(L193=1,0,IF(SUM(K$81:K192)&gt;=Construction_Timeline,0,1))</f>
        <v>0</v>
      </c>
      <c r="L193" s="13">
        <f t="shared" si="19"/>
        <v>0</v>
      </c>
      <c r="M193" s="54">
        <f t="shared" si="15"/>
        <v>49583</v>
      </c>
      <c r="N193" s="7"/>
      <c r="O193" s="12"/>
      <c r="P193" s="98"/>
      <c r="Q193" s="98"/>
      <c r="R193" s="98"/>
      <c r="S193" s="98"/>
      <c r="T193" s="3"/>
      <c r="U193" s="98"/>
      <c r="V193" s="98"/>
      <c r="W193" s="98"/>
      <c r="X193" s="98"/>
    </row>
    <row r="194" spans="2:24">
      <c r="B194" s="7"/>
      <c r="C194" s="7">
        <v>118</v>
      </c>
      <c r="D194" s="24">
        <f t="shared" si="18"/>
        <v>0</v>
      </c>
      <c r="E194" s="103">
        <f t="shared" si="14"/>
        <v>0</v>
      </c>
      <c r="F194" s="53">
        <v>0</v>
      </c>
      <c r="G194" s="24">
        <f t="shared" si="16"/>
        <v>0</v>
      </c>
      <c r="H194" s="15">
        <f>IF(G194&gt;0,0,IF(AND(H193=0,SUM(K194:L194)=0),0,IF(D194=0,PPMT(D$65/12,COUNTIF(D$76:D194,0),D$66,Primary_Loan_Amount),0)))</f>
        <v>0</v>
      </c>
      <c r="I194" s="15">
        <f>-SUM(Primary_Loan_Amount)-SUM(H$76:H194)</f>
        <v>-23217621.943162207</v>
      </c>
      <c r="J194" s="24">
        <f t="shared" si="17"/>
        <v>0</v>
      </c>
      <c r="K194" s="51">
        <f>IF(L194=1,0,IF(SUM(K$81:K193)&gt;=Construction_Timeline,0,1))</f>
        <v>0</v>
      </c>
      <c r="L194" s="13">
        <f t="shared" si="19"/>
        <v>0</v>
      </c>
      <c r="M194" s="54">
        <f t="shared" si="15"/>
        <v>49614</v>
      </c>
      <c r="N194" s="7"/>
      <c r="O194" s="12"/>
      <c r="P194" s="98"/>
      <c r="Q194" s="98"/>
      <c r="R194" s="98"/>
      <c r="S194" s="98"/>
      <c r="T194" s="3"/>
      <c r="U194" s="98"/>
      <c r="V194" s="98"/>
      <c r="W194" s="98"/>
      <c r="X194" s="98"/>
    </row>
    <row r="195" spans="2:24">
      <c r="B195" s="7"/>
      <c r="C195" s="7">
        <v>119</v>
      </c>
      <c r="D195" s="24">
        <f t="shared" si="18"/>
        <v>0</v>
      </c>
      <c r="E195" s="103">
        <f t="shared" si="14"/>
        <v>0</v>
      </c>
      <c r="F195" s="53">
        <v>0</v>
      </c>
      <c r="G195" s="24">
        <f t="shared" si="16"/>
        <v>0</v>
      </c>
      <c r="H195" s="15">
        <f>IF(G195&gt;0,0,IF(AND(H194=0,SUM(K195:L195)=0),0,IF(D195=0,PPMT(D$65/12,COUNTIF(D$76:D195,0),D$66,Primary_Loan_Amount),0)))</f>
        <v>0</v>
      </c>
      <c r="I195" s="15">
        <f>-SUM(Primary_Loan_Amount)-SUM(H$76:H195)</f>
        <v>-23217621.943162207</v>
      </c>
      <c r="J195" s="24">
        <f t="shared" si="17"/>
        <v>0</v>
      </c>
      <c r="K195" s="51">
        <f>IF(L195=1,0,IF(SUM(K$81:K194)&gt;=Construction_Timeline,0,1))</f>
        <v>0</v>
      </c>
      <c r="L195" s="13">
        <f t="shared" si="19"/>
        <v>0</v>
      </c>
      <c r="M195" s="54">
        <f t="shared" si="15"/>
        <v>49644</v>
      </c>
      <c r="N195" s="7"/>
      <c r="O195" s="12"/>
      <c r="P195" s="98"/>
      <c r="Q195" s="98"/>
      <c r="R195" s="98"/>
      <c r="S195" s="98"/>
      <c r="T195" s="3"/>
      <c r="U195" s="98"/>
      <c r="V195" s="98"/>
      <c r="W195" s="98"/>
      <c r="X195" s="98"/>
    </row>
    <row r="196" spans="2:24">
      <c r="B196" s="7"/>
      <c r="C196" s="7">
        <v>120</v>
      </c>
      <c r="D196" s="24">
        <f t="shared" si="18"/>
        <v>0</v>
      </c>
      <c r="E196" s="103">
        <f t="shared" si="14"/>
        <v>0</v>
      </c>
      <c r="F196" s="53">
        <v>0</v>
      </c>
      <c r="G196" s="24">
        <f t="shared" si="16"/>
        <v>0</v>
      </c>
      <c r="H196" s="15">
        <f>IF(G196&gt;0,0,IF(AND(H195=0,SUM(K196:L196)=0),0,IF(D196=0,PPMT(D$65/12,COUNTIF(D$76:D196,0),D$66,Primary_Loan_Amount),0)))</f>
        <v>0</v>
      </c>
      <c r="I196" s="15">
        <f>-SUM(Primary_Loan_Amount)-SUM(H$76:H196)</f>
        <v>-23217621.943162207</v>
      </c>
      <c r="J196" s="24">
        <f t="shared" si="17"/>
        <v>0</v>
      </c>
      <c r="K196" s="51">
        <f>IF(L196=1,0,IF(SUM(K$81:K195)&gt;=Construction_Timeline,0,1))</f>
        <v>0</v>
      </c>
      <c r="L196" s="13">
        <f t="shared" si="19"/>
        <v>0</v>
      </c>
      <c r="M196" s="54">
        <f t="shared" si="15"/>
        <v>49675</v>
      </c>
      <c r="N196" s="7"/>
      <c r="O196" s="12"/>
      <c r="P196" s="98"/>
      <c r="Q196" s="98"/>
      <c r="R196" s="98"/>
      <c r="S196" s="98"/>
      <c r="T196" s="3"/>
      <c r="U196" s="98"/>
      <c r="V196" s="98"/>
      <c r="W196" s="98"/>
      <c r="X196" s="98"/>
    </row>
    <row r="197" spans="2:24">
      <c r="B197" s="7"/>
      <c r="C197" s="7">
        <v>121</v>
      </c>
      <c r="D197" s="24">
        <f t="shared" si="18"/>
        <v>0</v>
      </c>
      <c r="E197" s="103">
        <f t="shared" si="14"/>
        <v>0</v>
      </c>
      <c r="F197" s="53">
        <v>0</v>
      </c>
      <c r="G197" s="24">
        <f t="shared" si="16"/>
        <v>0</v>
      </c>
      <c r="H197" s="15">
        <f>IF(G197&gt;0,0,IF(AND(H196=0,SUM(K197:L197)=0),0,IF(D197=0,PPMT(D$65/12,COUNTIF(D$76:D197,0),D$66,Primary_Loan_Amount),0)))</f>
        <v>0</v>
      </c>
      <c r="I197" s="15">
        <f>-SUM(Primary_Loan_Amount)-SUM(H$76:H197)</f>
        <v>-23217621.943162207</v>
      </c>
      <c r="J197" s="24">
        <f t="shared" si="17"/>
        <v>0</v>
      </c>
      <c r="K197" s="51">
        <f>IF(L197=1,0,IF(SUM(K$81:K196)&gt;=Construction_Timeline,0,1))</f>
        <v>0</v>
      </c>
      <c r="L197" s="13">
        <f t="shared" si="19"/>
        <v>0</v>
      </c>
      <c r="M197" s="54">
        <f t="shared" si="15"/>
        <v>49706</v>
      </c>
      <c r="N197" s="7"/>
      <c r="O197" s="12"/>
      <c r="P197" s="98"/>
      <c r="Q197" s="98"/>
      <c r="R197" s="98"/>
      <c r="S197" s="98"/>
      <c r="T197" s="3"/>
      <c r="U197" s="98"/>
      <c r="V197" s="98"/>
      <c r="W197" s="98"/>
      <c r="X197" s="98"/>
    </row>
    <row r="198" spans="2:24">
      <c r="B198" s="7"/>
      <c r="C198" s="7">
        <v>122</v>
      </c>
      <c r="D198" s="24">
        <f t="shared" si="18"/>
        <v>0</v>
      </c>
      <c r="E198" s="103">
        <f t="shared" si="14"/>
        <v>0</v>
      </c>
      <c r="F198" s="53">
        <v>0</v>
      </c>
      <c r="G198" s="24">
        <f t="shared" si="16"/>
        <v>0</v>
      </c>
      <c r="H198" s="15">
        <f>IF(G198&gt;0,0,IF(AND(H197=0,SUM(K198:L198)=0),0,IF(D198=0,PPMT(D$65/12,COUNTIF(D$76:D198,0),D$66,Primary_Loan_Amount),0)))</f>
        <v>0</v>
      </c>
      <c r="I198" s="15">
        <f>-SUM(Primary_Loan_Amount)-SUM(H$76:H198)</f>
        <v>-23217621.943162207</v>
      </c>
      <c r="J198" s="24">
        <f t="shared" si="17"/>
        <v>0</v>
      </c>
      <c r="K198" s="51">
        <f>IF(L198=1,0,IF(SUM(K$81:K197)&gt;=Construction_Timeline,0,1))</f>
        <v>0</v>
      </c>
      <c r="L198" s="13">
        <f t="shared" si="19"/>
        <v>0</v>
      </c>
      <c r="M198" s="54">
        <f t="shared" si="15"/>
        <v>49735</v>
      </c>
      <c r="N198" s="7"/>
      <c r="O198" s="12"/>
      <c r="P198" s="98"/>
      <c r="Q198" s="98"/>
      <c r="R198" s="98"/>
      <c r="S198" s="98"/>
      <c r="T198" s="3"/>
      <c r="U198" s="98"/>
      <c r="V198" s="98"/>
      <c r="W198" s="98"/>
      <c r="X198" s="98"/>
    </row>
    <row r="199" spans="2:24">
      <c r="B199" s="7"/>
      <c r="C199" s="7">
        <v>123</v>
      </c>
      <c r="D199" s="24">
        <f t="shared" si="18"/>
        <v>0</v>
      </c>
      <c r="E199" s="103">
        <f t="shared" si="14"/>
        <v>0</v>
      </c>
      <c r="F199" s="53">
        <v>0</v>
      </c>
      <c r="G199" s="24">
        <f t="shared" si="16"/>
        <v>0</v>
      </c>
      <c r="H199" s="15">
        <f>IF(G199&gt;0,0,IF(AND(H198=0,SUM(K199:L199)=0),0,IF(D199=0,PPMT(D$65/12,COUNTIF(D$76:D199,0),D$66,Primary_Loan_Amount),0)))</f>
        <v>0</v>
      </c>
      <c r="I199" s="15">
        <f>-SUM(Primary_Loan_Amount)-SUM(H$76:H199)</f>
        <v>-23217621.943162207</v>
      </c>
      <c r="J199" s="24">
        <f t="shared" si="17"/>
        <v>0</v>
      </c>
      <c r="K199" s="51">
        <f>IF(L199=1,0,IF(SUM(K$81:K198)&gt;=Construction_Timeline,0,1))</f>
        <v>0</v>
      </c>
      <c r="L199" s="13">
        <f t="shared" si="19"/>
        <v>0</v>
      </c>
      <c r="M199" s="54">
        <f t="shared" si="15"/>
        <v>49766</v>
      </c>
      <c r="N199" s="7"/>
      <c r="O199" s="12"/>
      <c r="P199" s="98"/>
      <c r="Q199" s="98"/>
      <c r="R199" s="98"/>
      <c r="S199" s="98"/>
      <c r="T199" s="3"/>
      <c r="U199" s="98"/>
      <c r="V199" s="98"/>
      <c r="W199" s="98"/>
      <c r="X199" s="98"/>
    </row>
    <row r="200" spans="2:24">
      <c r="B200" s="7"/>
      <c r="C200" s="7">
        <v>124</v>
      </c>
      <c r="D200" s="24">
        <f t="shared" si="18"/>
        <v>0</v>
      </c>
      <c r="E200" s="103">
        <f t="shared" si="14"/>
        <v>0</v>
      </c>
      <c r="F200" s="53">
        <v>0</v>
      </c>
      <c r="G200" s="24">
        <f t="shared" si="16"/>
        <v>0</v>
      </c>
      <c r="H200" s="15">
        <f>IF(G200&gt;0,0,IF(AND(H199=0,SUM(K200:L200)=0),0,IF(D200=0,PPMT(D$65/12,COUNTIF(D$76:D200,0),D$66,Primary_Loan_Amount),0)))</f>
        <v>0</v>
      </c>
      <c r="I200" s="15">
        <f>-SUM(Primary_Loan_Amount)-SUM(H$76:H200)</f>
        <v>-23217621.943162207</v>
      </c>
      <c r="J200" s="24">
        <f t="shared" si="17"/>
        <v>0</v>
      </c>
      <c r="K200" s="51">
        <f>IF(L200=1,0,IF(SUM(K$81:K199)&gt;=Construction_Timeline,0,1))</f>
        <v>0</v>
      </c>
      <c r="L200" s="13">
        <f t="shared" si="19"/>
        <v>0</v>
      </c>
      <c r="M200" s="54">
        <f t="shared" si="15"/>
        <v>49796</v>
      </c>
      <c r="N200" s="7"/>
      <c r="O200" s="12"/>
      <c r="P200" s="98"/>
      <c r="Q200" s="98"/>
      <c r="R200" s="98"/>
      <c r="S200" s="98"/>
      <c r="T200" s="3"/>
      <c r="U200" s="98"/>
      <c r="V200" s="98"/>
      <c r="W200" s="98"/>
      <c r="X200" s="98"/>
    </row>
    <row r="201" spans="2:24">
      <c r="B201" s="7"/>
      <c r="C201" s="7">
        <v>125</v>
      </c>
      <c r="D201" s="24">
        <f t="shared" si="18"/>
        <v>0</v>
      </c>
      <c r="E201" s="103">
        <f t="shared" si="14"/>
        <v>0</v>
      </c>
      <c r="F201" s="53">
        <v>0</v>
      </c>
      <c r="G201" s="24">
        <f t="shared" si="16"/>
        <v>0</v>
      </c>
      <c r="H201" s="15">
        <f>IF(G201&gt;0,0,IF(AND(H200=0,SUM(K201:L201)=0),0,IF(D201=0,PPMT(D$65/12,COUNTIF(D$76:D201,0),D$66,Primary_Loan_Amount),0)))</f>
        <v>0</v>
      </c>
      <c r="I201" s="15">
        <f>-SUM(Primary_Loan_Amount)-SUM(H$76:H201)</f>
        <v>-23217621.943162207</v>
      </c>
      <c r="J201" s="24">
        <f t="shared" si="17"/>
        <v>0</v>
      </c>
      <c r="K201" s="51">
        <f>IF(L201=1,0,IF(SUM(K$81:K200)&gt;=Construction_Timeline,0,1))</f>
        <v>0</v>
      </c>
      <c r="L201" s="13">
        <f t="shared" si="19"/>
        <v>0</v>
      </c>
      <c r="M201" s="54">
        <f t="shared" si="15"/>
        <v>49827</v>
      </c>
      <c r="N201" s="7"/>
      <c r="O201" s="12"/>
      <c r="P201" s="98"/>
      <c r="Q201" s="98"/>
      <c r="R201" s="98"/>
      <c r="S201" s="98"/>
      <c r="T201" s="3"/>
      <c r="U201" s="98"/>
      <c r="V201" s="98"/>
      <c r="W201" s="98"/>
      <c r="X201" s="98"/>
    </row>
    <row r="202" spans="2:24">
      <c r="B202" s="7"/>
      <c r="C202" s="7">
        <v>126</v>
      </c>
      <c r="D202" s="24">
        <f t="shared" si="18"/>
        <v>0</v>
      </c>
      <c r="E202" s="103">
        <f t="shared" si="14"/>
        <v>0</v>
      </c>
      <c r="F202" s="53">
        <v>0</v>
      </c>
      <c r="G202" s="24">
        <f t="shared" si="16"/>
        <v>0</v>
      </c>
      <c r="H202" s="15">
        <f>IF(G202&gt;0,0,IF(AND(H201=0,SUM(K202:L202)=0),0,IF(D202=0,PPMT(D$65/12,COUNTIF(D$76:D202,0),D$66,Primary_Loan_Amount),0)))</f>
        <v>0</v>
      </c>
      <c r="I202" s="15">
        <f>-SUM(Primary_Loan_Amount)-SUM(H$76:H202)</f>
        <v>-23217621.943162207</v>
      </c>
      <c r="J202" s="24">
        <f t="shared" si="17"/>
        <v>0</v>
      </c>
      <c r="K202" s="51">
        <f>IF(L202=1,0,IF(SUM(K$81:K201)&gt;=Construction_Timeline,0,1))</f>
        <v>0</v>
      </c>
      <c r="L202" s="13">
        <f t="shared" si="19"/>
        <v>0</v>
      </c>
      <c r="M202" s="54">
        <f t="shared" si="15"/>
        <v>49857</v>
      </c>
      <c r="N202" s="7"/>
      <c r="O202" s="12"/>
      <c r="P202" s="98"/>
      <c r="Q202" s="98"/>
      <c r="R202" s="98"/>
      <c r="S202" s="98"/>
      <c r="T202" s="3"/>
      <c r="U202" s="98"/>
      <c r="V202" s="98"/>
      <c r="W202" s="98"/>
      <c r="X202" s="98"/>
    </row>
    <row r="203" spans="2:24">
      <c r="B203" s="7"/>
      <c r="C203" s="7">
        <v>127</v>
      </c>
      <c r="D203" s="24">
        <f t="shared" si="18"/>
        <v>0</v>
      </c>
      <c r="E203" s="103">
        <f t="shared" si="14"/>
        <v>0</v>
      </c>
      <c r="F203" s="53">
        <v>0</v>
      </c>
      <c r="G203" s="24">
        <f t="shared" si="16"/>
        <v>0</v>
      </c>
      <c r="H203" s="15">
        <f>IF(G203&gt;0,0,IF(AND(H202=0,SUM(K203:L203)=0),0,IF(D203=0,PPMT(D$65/12,COUNTIF(D$76:D203,0),D$66,Primary_Loan_Amount),0)))</f>
        <v>0</v>
      </c>
      <c r="I203" s="15">
        <f>-SUM(Primary_Loan_Amount)-SUM(H$76:H203)</f>
        <v>-23217621.943162207</v>
      </c>
      <c r="J203" s="24">
        <f t="shared" si="17"/>
        <v>0</v>
      </c>
      <c r="K203" s="51">
        <f>IF(L203=1,0,IF(SUM(K$81:K202)&gt;=Construction_Timeline,0,1))</f>
        <v>0</v>
      </c>
      <c r="L203" s="13">
        <f t="shared" si="19"/>
        <v>0</v>
      </c>
      <c r="M203" s="54">
        <f t="shared" si="15"/>
        <v>49888</v>
      </c>
      <c r="N203" s="7"/>
      <c r="O203" s="12"/>
      <c r="P203" s="98"/>
      <c r="Q203" s="98"/>
      <c r="R203" s="98"/>
      <c r="S203" s="98"/>
      <c r="T203" s="3"/>
      <c r="U203" s="98"/>
      <c r="V203" s="98"/>
      <c r="W203" s="98"/>
      <c r="X203" s="98"/>
    </row>
    <row r="204" spans="2:24">
      <c r="B204" s="7"/>
      <c r="C204" s="7">
        <v>128</v>
      </c>
      <c r="D204" s="24">
        <f t="shared" si="18"/>
        <v>0</v>
      </c>
      <c r="E204" s="103">
        <f t="shared" si="14"/>
        <v>0</v>
      </c>
      <c r="F204" s="53">
        <v>0</v>
      </c>
      <c r="G204" s="24">
        <f t="shared" ref="G204:G235" si="20">IF(C204=SUM(Month_of_Sale,PreDev_Timeline,Construction_Timeline),Sale_Price*(1-D$64),0)</f>
        <v>0</v>
      </c>
      <c r="H204" s="15">
        <f>IF(G204&gt;0,0,IF(AND(H203=0,SUM(K204:L204)=0),0,IF(D204=0,PPMT(D$65/12,COUNTIF(D$76:D204,0),D$66,Primary_Loan_Amount),0)))</f>
        <v>0</v>
      </c>
      <c r="I204" s="15">
        <f>-SUM(Primary_Loan_Amount)-SUM(H$76:H204)</f>
        <v>-23217621.943162207</v>
      </c>
      <c r="J204" s="24">
        <f t="shared" ref="J204:J235" si="21">SUM(D204,F204,G204)+IF(G204&gt;0,I204)</f>
        <v>0</v>
      </c>
      <c r="K204" s="51">
        <f>IF(L204=1,0,IF(SUM(K$81:K203)&gt;=Construction_Timeline,0,1))</f>
        <v>0</v>
      </c>
      <c r="L204" s="13">
        <f t="shared" si="19"/>
        <v>0</v>
      </c>
      <c r="M204" s="54">
        <f t="shared" si="15"/>
        <v>49919</v>
      </c>
      <c r="N204" s="7"/>
      <c r="O204" s="12"/>
      <c r="P204" s="98"/>
      <c r="Q204" s="98"/>
      <c r="R204" s="98"/>
      <c r="S204" s="98"/>
      <c r="T204" s="3"/>
      <c r="U204" s="98"/>
      <c r="V204" s="98"/>
      <c r="W204" s="98"/>
      <c r="X204" s="98"/>
    </row>
    <row r="205" spans="2:24">
      <c r="B205" s="7"/>
      <c r="C205" s="7">
        <v>129</v>
      </c>
      <c r="D205" s="24">
        <f t="shared" ref="D205:D236" si="22">IF(AND(C204&gt;0,E204&gt;=D204),E204,IF(L205=1,-Pre_Development_Costs/PreDev_Timeline,IF(K205=1,MAX(E204,-D$52/Construction_Timeline),0)))</f>
        <v>0</v>
      </c>
      <c r="E205" s="103">
        <f t="shared" si="14"/>
        <v>0</v>
      </c>
      <c r="F205" s="53">
        <v>0</v>
      </c>
      <c r="G205" s="24">
        <f t="shared" si="20"/>
        <v>0</v>
      </c>
      <c r="H205" s="15">
        <f>IF(G205&gt;0,0,IF(AND(H204=0,SUM(K205:L205)=0),0,IF(D205=0,PPMT(D$65/12,COUNTIF(D$76:D205,0),D$66,Primary_Loan_Amount),0)))</f>
        <v>0</v>
      </c>
      <c r="I205" s="15">
        <f>-SUM(Primary_Loan_Amount)-SUM(H$76:H205)</f>
        <v>-23217621.943162207</v>
      </c>
      <c r="J205" s="24">
        <f t="shared" si="21"/>
        <v>0</v>
      </c>
      <c r="K205" s="51">
        <f>IF(L205=1,0,IF(SUM(K$81:K204)&gt;=Construction_Timeline,0,1))</f>
        <v>0</v>
      </c>
      <c r="L205" s="13">
        <f t="shared" ref="L205:L236" si="23">IF(C205&lt;=PreDev_Timeline,1,0)</f>
        <v>0</v>
      </c>
      <c r="M205" s="54">
        <f t="shared" si="15"/>
        <v>49949</v>
      </c>
      <c r="N205" s="7"/>
      <c r="O205" s="12"/>
      <c r="P205" s="98"/>
      <c r="Q205" s="98"/>
      <c r="R205" s="98"/>
      <c r="S205" s="98"/>
      <c r="T205" s="3"/>
      <c r="U205" s="98"/>
      <c r="V205" s="98"/>
      <c r="W205" s="98"/>
      <c r="X205" s="98"/>
    </row>
    <row r="206" spans="2:24">
      <c r="B206" s="7"/>
      <c r="C206" s="7">
        <v>130</v>
      </c>
      <c r="D206" s="24">
        <f t="shared" si="22"/>
        <v>0</v>
      </c>
      <c r="E206" s="103">
        <f t="shared" ref="E206:E256" si="24">E205-D206</f>
        <v>0</v>
      </c>
      <c r="F206" s="53">
        <v>0</v>
      </c>
      <c r="G206" s="24">
        <f t="shared" si="20"/>
        <v>0</v>
      </c>
      <c r="H206" s="15">
        <f>IF(G206&gt;0,0,IF(AND(H205=0,SUM(K206:L206)=0),0,IF(D206=0,PPMT(D$65/12,COUNTIF(D$76:D206,0),D$66,Primary_Loan_Amount),0)))</f>
        <v>0</v>
      </c>
      <c r="I206" s="15">
        <f>-SUM(Primary_Loan_Amount)-SUM(H$76:H206)</f>
        <v>-23217621.943162207</v>
      </c>
      <c r="J206" s="24">
        <f t="shared" si="21"/>
        <v>0</v>
      </c>
      <c r="K206" s="51">
        <f>IF(L206=1,0,IF(SUM(K$81:K205)&gt;=Construction_Timeline,0,1))</f>
        <v>0</v>
      </c>
      <c r="L206" s="13">
        <f t="shared" si="23"/>
        <v>0</v>
      </c>
      <c r="M206" s="54">
        <f t="shared" ref="M206:M256" si="25">EDATE(M205,1)</f>
        <v>49980</v>
      </c>
      <c r="N206" s="7"/>
      <c r="O206" s="12"/>
      <c r="P206" s="98"/>
      <c r="Q206" s="98"/>
      <c r="R206" s="98"/>
      <c r="S206" s="98"/>
      <c r="T206" s="3"/>
      <c r="U206" s="98"/>
      <c r="V206" s="98"/>
      <c r="W206" s="98"/>
      <c r="X206" s="98"/>
    </row>
    <row r="207" spans="2:24">
      <c r="B207" s="7"/>
      <c r="C207" s="7">
        <v>131</v>
      </c>
      <c r="D207" s="24">
        <f t="shared" si="22"/>
        <v>0</v>
      </c>
      <c r="E207" s="103">
        <f t="shared" si="24"/>
        <v>0</v>
      </c>
      <c r="F207" s="53">
        <v>0</v>
      </c>
      <c r="G207" s="24">
        <f t="shared" si="20"/>
        <v>0</v>
      </c>
      <c r="H207" s="15">
        <f>IF(G207&gt;0,0,IF(AND(H206=0,SUM(K207:L207)=0),0,IF(D207=0,PPMT(D$65/12,COUNTIF(D$76:D207,0),D$66,Primary_Loan_Amount),0)))</f>
        <v>0</v>
      </c>
      <c r="I207" s="15">
        <f>-SUM(Primary_Loan_Amount)-SUM(H$76:H207)</f>
        <v>-23217621.943162207</v>
      </c>
      <c r="J207" s="24">
        <f t="shared" si="21"/>
        <v>0</v>
      </c>
      <c r="K207" s="51">
        <f>IF(L207=1,0,IF(SUM(K$81:K206)&gt;=Construction_Timeline,0,1))</f>
        <v>0</v>
      </c>
      <c r="L207" s="13">
        <f t="shared" si="23"/>
        <v>0</v>
      </c>
      <c r="M207" s="54">
        <f t="shared" si="25"/>
        <v>50010</v>
      </c>
      <c r="N207" s="7"/>
      <c r="O207" s="12"/>
      <c r="P207" s="98"/>
      <c r="Q207" s="98"/>
      <c r="R207" s="98"/>
      <c r="S207" s="98"/>
      <c r="T207" s="3"/>
      <c r="U207" s="98"/>
      <c r="V207" s="98"/>
      <c r="W207" s="98"/>
      <c r="X207" s="98"/>
    </row>
    <row r="208" spans="2:24">
      <c r="B208" s="7"/>
      <c r="C208" s="7">
        <v>132</v>
      </c>
      <c r="D208" s="24">
        <f t="shared" si="22"/>
        <v>0</v>
      </c>
      <c r="E208" s="103">
        <f t="shared" si="24"/>
        <v>0</v>
      </c>
      <c r="F208" s="53">
        <v>0</v>
      </c>
      <c r="G208" s="24">
        <f t="shared" si="20"/>
        <v>0</v>
      </c>
      <c r="H208" s="15">
        <f>IF(G208&gt;0,0,IF(AND(H207=0,SUM(K208:L208)=0),0,IF(D208=0,PPMT(D$65/12,COUNTIF(D$76:D208,0),D$66,Primary_Loan_Amount),0)))</f>
        <v>0</v>
      </c>
      <c r="I208" s="15">
        <f>-SUM(Primary_Loan_Amount)-SUM(H$76:H208)</f>
        <v>-23217621.943162207</v>
      </c>
      <c r="J208" s="24">
        <f t="shared" si="21"/>
        <v>0</v>
      </c>
      <c r="K208" s="51">
        <f>IF(L208=1,0,IF(SUM(K$81:K207)&gt;=Construction_Timeline,0,1))</f>
        <v>0</v>
      </c>
      <c r="L208" s="13">
        <f t="shared" si="23"/>
        <v>0</v>
      </c>
      <c r="M208" s="54">
        <f t="shared" si="25"/>
        <v>50041</v>
      </c>
      <c r="N208" s="7"/>
      <c r="O208" s="12"/>
      <c r="P208" s="98"/>
      <c r="Q208" s="98"/>
      <c r="R208" s="98"/>
      <c r="S208" s="98"/>
      <c r="T208" s="3"/>
      <c r="U208" s="98"/>
      <c r="V208" s="98"/>
      <c r="W208" s="98"/>
      <c r="X208" s="98"/>
    </row>
    <row r="209" spans="2:24">
      <c r="B209" s="7"/>
      <c r="C209" s="7">
        <v>133</v>
      </c>
      <c r="D209" s="24">
        <f t="shared" si="22"/>
        <v>0</v>
      </c>
      <c r="E209" s="103">
        <f t="shared" si="24"/>
        <v>0</v>
      </c>
      <c r="F209" s="53">
        <v>0</v>
      </c>
      <c r="G209" s="24">
        <f t="shared" si="20"/>
        <v>0</v>
      </c>
      <c r="H209" s="15">
        <f>IF(G209&gt;0,0,IF(AND(H208=0,SUM(K209:L209)=0),0,IF(D209=0,PPMT(D$65/12,COUNTIF(D$76:D209,0),D$66,Primary_Loan_Amount),0)))</f>
        <v>0</v>
      </c>
      <c r="I209" s="15">
        <f>-SUM(Primary_Loan_Amount)-SUM(H$76:H209)</f>
        <v>-23217621.943162207</v>
      </c>
      <c r="J209" s="24">
        <f t="shared" si="21"/>
        <v>0</v>
      </c>
      <c r="K209" s="51">
        <f>IF(L209=1,0,IF(SUM(K$81:K208)&gt;=Construction_Timeline,0,1))</f>
        <v>0</v>
      </c>
      <c r="L209" s="13">
        <f t="shared" si="23"/>
        <v>0</v>
      </c>
      <c r="M209" s="54">
        <f t="shared" si="25"/>
        <v>50072</v>
      </c>
      <c r="N209" s="7"/>
      <c r="O209" s="12"/>
      <c r="P209" s="98"/>
      <c r="Q209" s="98"/>
      <c r="R209" s="98"/>
      <c r="S209" s="98"/>
      <c r="T209" s="3"/>
      <c r="U209" s="98"/>
      <c r="V209" s="98"/>
      <c r="W209" s="98"/>
      <c r="X209" s="98"/>
    </row>
    <row r="210" spans="2:24">
      <c r="B210" s="7"/>
      <c r="C210" s="7">
        <v>134</v>
      </c>
      <c r="D210" s="24">
        <f t="shared" si="22"/>
        <v>0</v>
      </c>
      <c r="E210" s="103">
        <f t="shared" si="24"/>
        <v>0</v>
      </c>
      <c r="F210" s="53">
        <v>0</v>
      </c>
      <c r="G210" s="24">
        <f t="shared" si="20"/>
        <v>0</v>
      </c>
      <c r="H210" s="15">
        <f>IF(G210&gt;0,0,IF(AND(H209=0,SUM(K210:L210)=0),0,IF(D210=0,PPMT(D$65/12,COUNTIF(D$76:D210,0),D$66,Primary_Loan_Amount),0)))</f>
        <v>0</v>
      </c>
      <c r="I210" s="15">
        <f>-SUM(Primary_Loan_Amount)-SUM(H$76:H210)</f>
        <v>-23217621.943162207</v>
      </c>
      <c r="J210" s="24">
        <f t="shared" si="21"/>
        <v>0</v>
      </c>
      <c r="K210" s="51">
        <f>IF(L210=1,0,IF(SUM(K$81:K209)&gt;=Construction_Timeline,0,1))</f>
        <v>0</v>
      </c>
      <c r="L210" s="13">
        <f t="shared" si="23"/>
        <v>0</v>
      </c>
      <c r="M210" s="54">
        <f t="shared" si="25"/>
        <v>50100</v>
      </c>
      <c r="N210" s="7"/>
      <c r="O210" s="12"/>
      <c r="P210" s="98"/>
      <c r="Q210" s="98"/>
      <c r="R210" s="98"/>
      <c r="S210" s="98"/>
      <c r="T210" s="3"/>
      <c r="U210" s="98"/>
      <c r="V210" s="98"/>
      <c r="W210" s="98"/>
      <c r="X210" s="98"/>
    </row>
    <row r="211" spans="2:24">
      <c r="B211" s="7"/>
      <c r="C211" s="7">
        <v>135</v>
      </c>
      <c r="D211" s="24">
        <f t="shared" si="22"/>
        <v>0</v>
      </c>
      <c r="E211" s="103">
        <f t="shared" si="24"/>
        <v>0</v>
      </c>
      <c r="F211" s="53">
        <v>0</v>
      </c>
      <c r="G211" s="24">
        <f t="shared" si="20"/>
        <v>0</v>
      </c>
      <c r="H211" s="15">
        <f>IF(G211&gt;0,0,IF(AND(H210=0,SUM(K211:L211)=0),0,IF(D211=0,PPMT(D$65/12,COUNTIF(D$76:D211,0),D$66,Primary_Loan_Amount),0)))</f>
        <v>0</v>
      </c>
      <c r="I211" s="15">
        <f>-SUM(Primary_Loan_Amount)-SUM(H$76:H211)</f>
        <v>-23217621.943162207</v>
      </c>
      <c r="J211" s="24">
        <f t="shared" si="21"/>
        <v>0</v>
      </c>
      <c r="K211" s="51">
        <f>IF(L211=1,0,IF(SUM(K$81:K210)&gt;=Construction_Timeline,0,1))</f>
        <v>0</v>
      </c>
      <c r="L211" s="13">
        <f t="shared" si="23"/>
        <v>0</v>
      </c>
      <c r="M211" s="54">
        <f t="shared" si="25"/>
        <v>50131</v>
      </c>
      <c r="N211" s="7"/>
      <c r="O211" s="12"/>
      <c r="P211" s="98"/>
      <c r="Q211" s="98"/>
      <c r="R211" s="98"/>
      <c r="S211" s="98"/>
      <c r="T211" s="3"/>
      <c r="U211" s="98"/>
      <c r="V211" s="98"/>
      <c r="W211" s="98"/>
      <c r="X211" s="98"/>
    </row>
    <row r="212" spans="2:24">
      <c r="B212" s="7"/>
      <c r="C212" s="7">
        <v>136</v>
      </c>
      <c r="D212" s="24">
        <f t="shared" si="22"/>
        <v>0</v>
      </c>
      <c r="E212" s="103">
        <f t="shared" si="24"/>
        <v>0</v>
      </c>
      <c r="F212" s="53">
        <v>0</v>
      </c>
      <c r="G212" s="24">
        <f t="shared" si="20"/>
        <v>0</v>
      </c>
      <c r="H212" s="15">
        <f>IF(G212&gt;0,0,IF(AND(H211=0,SUM(K212:L212)=0),0,IF(D212=0,PPMT(D$65/12,COUNTIF(D$76:D212,0),D$66,Primary_Loan_Amount),0)))</f>
        <v>0</v>
      </c>
      <c r="I212" s="15">
        <f>-SUM(Primary_Loan_Amount)-SUM(H$76:H212)</f>
        <v>-23217621.943162207</v>
      </c>
      <c r="J212" s="24">
        <f t="shared" si="21"/>
        <v>0</v>
      </c>
      <c r="K212" s="51">
        <f>IF(L212=1,0,IF(SUM(K$81:K211)&gt;=Construction_Timeline,0,1))</f>
        <v>0</v>
      </c>
      <c r="L212" s="13">
        <f t="shared" si="23"/>
        <v>0</v>
      </c>
      <c r="M212" s="54">
        <f t="shared" si="25"/>
        <v>50161</v>
      </c>
      <c r="N212" s="7"/>
      <c r="O212" s="12"/>
      <c r="P212" s="98"/>
      <c r="Q212" s="98"/>
      <c r="R212" s="98"/>
      <c r="S212" s="98"/>
      <c r="T212" s="3"/>
      <c r="U212" s="98"/>
      <c r="V212" s="98"/>
      <c r="W212" s="98"/>
      <c r="X212" s="98"/>
    </row>
    <row r="213" spans="2:24">
      <c r="B213" s="7"/>
      <c r="C213" s="7">
        <v>137</v>
      </c>
      <c r="D213" s="24">
        <f t="shared" si="22"/>
        <v>0</v>
      </c>
      <c r="E213" s="103">
        <f t="shared" si="24"/>
        <v>0</v>
      </c>
      <c r="F213" s="53">
        <v>0</v>
      </c>
      <c r="G213" s="24">
        <f t="shared" si="20"/>
        <v>0</v>
      </c>
      <c r="H213" s="15">
        <f>IF(G213&gt;0,0,IF(AND(H212=0,SUM(K213:L213)=0),0,IF(D213=0,PPMT(D$65/12,COUNTIF(D$76:D213,0),D$66,Primary_Loan_Amount),0)))</f>
        <v>0</v>
      </c>
      <c r="I213" s="15">
        <f>-SUM(Primary_Loan_Amount)-SUM(H$76:H213)</f>
        <v>-23217621.943162207</v>
      </c>
      <c r="J213" s="24">
        <f t="shared" si="21"/>
        <v>0</v>
      </c>
      <c r="K213" s="51">
        <f>IF(L213=1,0,IF(SUM(K$81:K212)&gt;=Construction_Timeline,0,1))</f>
        <v>0</v>
      </c>
      <c r="L213" s="13">
        <f t="shared" si="23"/>
        <v>0</v>
      </c>
      <c r="M213" s="54">
        <f t="shared" si="25"/>
        <v>50192</v>
      </c>
      <c r="N213" s="7"/>
      <c r="O213" s="12"/>
      <c r="P213" s="98"/>
      <c r="Q213" s="98"/>
      <c r="R213" s="98"/>
      <c r="S213" s="98"/>
      <c r="T213" s="3"/>
      <c r="U213" s="98"/>
      <c r="V213" s="98"/>
      <c r="W213" s="98"/>
      <c r="X213" s="98"/>
    </row>
    <row r="214" spans="2:24">
      <c r="B214" s="7"/>
      <c r="C214" s="7">
        <v>138</v>
      </c>
      <c r="D214" s="24">
        <f t="shared" si="22"/>
        <v>0</v>
      </c>
      <c r="E214" s="103">
        <f t="shared" si="24"/>
        <v>0</v>
      </c>
      <c r="F214" s="53">
        <v>0</v>
      </c>
      <c r="G214" s="24">
        <f t="shared" si="20"/>
        <v>0</v>
      </c>
      <c r="H214" s="15">
        <f>IF(G214&gt;0,0,IF(AND(H213=0,SUM(K214:L214)=0),0,IF(D214=0,PPMT(D$65/12,COUNTIF(D$76:D214,0),D$66,Primary_Loan_Amount),0)))</f>
        <v>0</v>
      </c>
      <c r="I214" s="15">
        <f>-SUM(Primary_Loan_Amount)-SUM(H$76:H214)</f>
        <v>-23217621.943162207</v>
      </c>
      <c r="J214" s="24">
        <f t="shared" si="21"/>
        <v>0</v>
      </c>
      <c r="K214" s="51">
        <f>IF(L214=1,0,IF(SUM(K$81:K213)&gt;=Construction_Timeline,0,1))</f>
        <v>0</v>
      </c>
      <c r="L214" s="13">
        <f t="shared" si="23"/>
        <v>0</v>
      </c>
      <c r="M214" s="54">
        <f t="shared" si="25"/>
        <v>50222</v>
      </c>
      <c r="N214" s="7"/>
      <c r="O214" s="12"/>
      <c r="P214" s="98"/>
      <c r="Q214" s="98"/>
      <c r="R214" s="98"/>
      <c r="S214" s="98"/>
      <c r="T214" s="3"/>
      <c r="U214" s="98"/>
      <c r="V214" s="98"/>
      <c r="W214" s="98"/>
      <c r="X214" s="98"/>
    </row>
    <row r="215" spans="2:24">
      <c r="B215" s="7"/>
      <c r="C215" s="7">
        <v>139</v>
      </c>
      <c r="D215" s="24">
        <f t="shared" si="22"/>
        <v>0</v>
      </c>
      <c r="E215" s="103">
        <f t="shared" si="24"/>
        <v>0</v>
      </c>
      <c r="F215" s="53">
        <v>0</v>
      </c>
      <c r="G215" s="24">
        <f t="shared" si="20"/>
        <v>0</v>
      </c>
      <c r="H215" s="15">
        <f>IF(G215&gt;0,0,IF(AND(H214=0,SUM(K215:L215)=0),0,IF(D215=0,PPMT(D$65/12,COUNTIF(D$76:D215,0),D$66,Primary_Loan_Amount),0)))</f>
        <v>0</v>
      </c>
      <c r="I215" s="15">
        <f>-SUM(Primary_Loan_Amount)-SUM(H$76:H215)</f>
        <v>-23217621.943162207</v>
      </c>
      <c r="J215" s="24">
        <f t="shared" si="21"/>
        <v>0</v>
      </c>
      <c r="K215" s="51">
        <f>IF(L215=1,0,IF(SUM(K$81:K214)&gt;=Construction_Timeline,0,1))</f>
        <v>0</v>
      </c>
      <c r="L215" s="13">
        <f t="shared" si="23"/>
        <v>0</v>
      </c>
      <c r="M215" s="54">
        <f t="shared" si="25"/>
        <v>50253</v>
      </c>
      <c r="N215" s="7"/>
      <c r="O215" s="12"/>
      <c r="P215" s="98"/>
      <c r="Q215" s="98"/>
      <c r="R215" s="98"/>
      <c r="S215" s="98"/>
      <c r="T215" s="3"/>
      <c r="U215" s="98"/>
      <c r="V215" s="98"/>
      <c r="W215" s="98"/>
      <c r="X215" s="98"/>
    </row>
    <row r="216" spans="2:24">
      <c r="B216" s="7"/>
      <c r="C216" s="7">
        <v>140</v>
      </c>
      <c r="D216" s="24">
        <f t="shared" si="22"/>
        <v>0</v>
      </c>
      <c r="E216" s="103">
        <f t="shared" si="24"/>
        <v>0</v>
      </c>
      <c r="F216" s="53">
        <v>0</v>
      </c>
      <c r="G216" s="24">
        <f t="shared" si="20"/>
        <v>0</v>
      </c>
      <c r="H216" s="15">
        <f>IF(G216&gt;0,0,IF(AND(H215=0,SUM(K216:L216)=0),0,IF(D216=0,PPMT(D$65/12,COUNTIF(D$76:D216,0),D$66,Primary_Loan_Amount),0)))</f>
        <v>0</v>
      </c>
      <c r="I216" s="15">
        <f>-SUM(Primary_Loan_Amount)-SUM(H$76:H216)</f>
        <v>-23217621.943162207</v>
      </c>
      <c r="J216" s="24">
        <f t="shared" si="21"/>
        <v>0</v>
      </c>
      <c r="K216" s="51">
        <f>IF(L216=1,0,IF(SUM(K$81:K215)&gt;=Construction_Timeline,0,1))</f>
        <v>0</v>
      </c>
      <c r="L216" s="13">
        <f t="shared" si="23"/>
        <v>0</v>
      </c>
      <c r="M216" s="54">
        <f t="shared" si="25"/>
        <v>50284</v>
      </c>
      <c r="N216" s="7"/>
      <c r="O216" s="12"/>
      <c r="P216" s="98"/>
      <c r="Q216" s="98"/>
      <c r="R216" s="98"/>
      <c r="S216" s="98"/>
      <c r="T216" s="3"/>
      <c r="U216" s="98"/>
      <c r="V216" s="98"/>
      <c r="W216" s="98"/>
      <c r="X216" s="98"/>
    </row>
    <row r="217" spans="2:24">
      <c r="B217" s="7"/>
      <c r="C217" s="7">
        <v>141</v>
      </c>
      <c r="D217" s="24">
        <f t="shared" si="22"/>
        <v>0</v>
      </c>
      <c r="E217" s="103">
        <f t="shared" si="24"/>
        <v>0</v>
      </c>
      <c r="F217" s="53">
        <v>0</v>
      </c>
      <c r="G217" s="24">
        <f t="shared" si="20"/>
        <v>0</v>
      </c>
      <c r="H217" s="15">
        <f>IF(G217&gt;0,0,IF(AND(H216=0,SUM(K217:L217)=0),0,IF(D217=0,PPMT(D$65/12,COUNTIF(D$76:D217,0),D$66,Primary_Loan_Amount),0)))</f>
        <v>0</v>
      </c>
      <c r="I217" s="15">
        <f>-SUM(Primary_Loan_Amount)-SUM(H$76:H217)</f>
        <v>-23217621.943162207</v>
      </c>
      <c r="J217" s="24">
        <f t="shared" si="21"/>
        <v>0</v>
      </c>
      <c r="K217" s="51">
        <f>IF(L217=1,0,IF(SUM(K$81:K216)&gt;=Construction_Timeline,0,1))</f>
        <v>0</v>
      </c>
      <c r="L217" s="13">
        <f t="shared" si="23"/>
        <v>0</v>
      </c>
      <c r="M217" s="54">
        <f t="shared" si="25"/>
        <v>50314</v>
      </c>
      <c r="N217" s="7"/>
      <c r="O217" s="12"/>
      <c r="P217" s="98"/>
      <c r="Q217" s="98"/>
      <c r="R217" s="98"/>
      <c r="S217" s="98"/>
      <c r="T217" s="3"/>
      <c r="U217" s="98"/>
      <c r="V217" s="98"/>
      <c r="W217" s="98"/>
      <c r="X217" s="98"/>
    </row>
    <row r="218" spans="2:24">
      <c r="B218" s="7"/>
      <c r="C218" s="7">
        <v>142</v>
      </c>
      <c r="D218" s="24">
        <f t="shared" si="22"/>
        <v>0</v>
      </c>
      <c r="E218" s="103">
        <f t="shared" si="24"/>
        <v>0</v>
      </c>
      <c r="F218" s="53">
        <v>0</v>
      </c>
      <c r="G218" s="24">
        <f t="shared" si="20"/>
        <v>0</v>
      </c>
      <c r="H218" s="15">
        <f>IF(G218&gt;0,0,IF(AND(H217=0,SUM(K218:L218)=0),0,IF(D218=0,PPMT(D$65/12,COUNTIF(D$76:D218,0),D$66,Primary_Loan_Amount),0)))</f>
        <v>0</v>
      </c>
      <c r="I218" s="15">
        <f>-SUM(Primary_Loan_Amount)-SUM(H$76:H218)</f>
        <v>-23217621.943162207</v>
      </c>
      <c r="J218" s="24">
        <f t="shared" si="21"/>
        <v>0</v>
      </c>
      <c r="K218" s="51">
        <f>IF(L218=1,0,IF(SUM(K$81:K217)&gt;=Construction_Timeline,0,1))</f>
        <v>0</v>
      </c>
      <c r="L218" s="13">
        <f t="shared" si="23"/>
        <v>0</v>
      </c>
      <c r="M218" s="54">
        <f t="shared" si="25"/>
        <v>50345</v>
      </c>
      <c r="N218" s="7"/>
      <c r="O218" s="12"/>
      <c r="P218" s="98"/>
      <c r="Q218" s="98"/>
      <c r="R218" s="98"/>
      <c r="S218" s="98"/>
      <c r="T218" s="3"/>
      <c r="U218" s="98"/>
      <c r="V218" s="98"/>
      <c r="W218" s="98"/>
      <c r="X218" s="98"/>
    </row>
    <row r="219" spans="2:24">
      <c r="B219" s="7"/>
      <c r="C219" s="7">
        <v>143</v>
      </c>
      <c r="D219" s="24">
        <f t="shared" si="22"/>
        <v>0</v>
      </c>
      <c r="E219" s="103">
        <f t="shared" si="24"/>
        <v>0</v>
      </c>
      <c r="F219" s="53">
        <v>0</v>
      </c>
      <c r="G219" s="24">
        <f t="shared" si="20"/>
        <v>0</v>
      </c>
      <c r="H219" s="15">
        <f>IF(G219&gt;0,0,IF(AND(H218=0,SUM(K219:L219)=0),0,IF(D219=0,PPMT(D$65/12,COUNTIF(D$76:D219,0),D$66,Primary_Loan_Amount),0)))</f>
        <v>0</v>
      </c>
      <c r="I219" s="15">
        <f>-SUM(Primary_Loan_Amount)-SUM(H$76:H219)</f>
        <v>-23217621.943162207</v>
      </c>
      <c r="J219" s="24">
        <f t="shared" si="21"/>
        <v>0</v>
      </c>
      <c r="K219" s="51">
        <f>IF(L219=1,0,IF(SUM(K$81:K218)&gt;=Construction_Timeline,0,1))</f>
        <v>0</v>
      </c>
      <c r="L219" s="13">
        <f t="shared" si="23"/>
        <v>0</v>
      </c>
      <c r="M219" s="54">
        <f t="shared" si="25"/>
        <v>50375</v>
      </c>
      <c r="N219" s="7"/>
      <c r="O219" s="12"/>
      <c r="P219" s="98"/>
      <c r="Q219" s="98"/>
      <c r="R219" s="98"/>
      <c r="S219" s="98"/>
      <c r="T219" s="3"/>
      <c r="U219" s="98"/>
      <c r="V219" s="98"/>
      <c r="W219" s="98"/>
      <c r="X219" s="98"/>
    </row>
    <row r="220" spans="2:24">
      <c r="B220" s="7"/>
      <c r="C220" s="7">
        <v>144</v>
      </c>
      <c r="D220" s="24">
        <f t="shared" si="22"/>
        <v>0</v>
      </c>
      <c r="E220" s="103">
        <f t="shared" si="24"/>
        <v>0</v>
      </c>
      <c r="F220" s="53">
        <v>0</v>
      </c>
      <c r="G220" s="24">
        <f t="shared" si="20"/>
        <v>0</v>
      </c>
      <c r="H220" s="15">
        <f>IF(G220&gt;0,0,IF(AND(H219=0,SUM(K220:L220)=0),0,IF(D220=0,PPMT(D$65/12,COUNTIF(D$76:D220,0),D$66,Primary_Loan_Amount),0)))</f>
        <v>0</v>
      </c>
      <c r="I220" s="15">
        <f>-SUM(Primary_Loan_Amount)-SUM(H$76:H220)</f>
        <v>-23217621.943162207</v>
      </c>
      <c r="J220" s="24">
        <f t="shared" si="21"/>
        <v>0</v>
      </c>
      <c r="K220" s="51">
        <f>IF(L220=1,0,IF(SUM(K$81:K219)&gt;=Construction_Timeline,0,1))</f>
        <v>0</v>
      </c>
      <c r="L220" s="13">
        <f t="shared" si="23"/>
        <v>0</v>
      </c>
      <c r="M220" s="54">
        <f t="shared" si="25"/>
        <v>50406</v>
      </c>
      <c r="N220" s="7"/>
      <c r="O220" s="12"/>
      <c r="P220" s="98"/>
      <c r="Q220" s="98"/>
      <c r="R220" s="98"/>
      <c r="S220" s="98"/>
      <c r="T220" s="3"/>
      <c r="U220" s="98"/>
      <c r="V220" s="98"/>
      <c r="W220" s="98"/>
      <c r="X220" s="98"/>
    </row>
    <row r="221" spans="2:24">
      <c r="B221" s="7"/>
      <c r="C221" s="7">
        <v>145</v>
      </c>
      <c r="D221" s="24">
        <f t="shared" si="22"/>
        <v>0</v>
      </c>
      <c r="E221" s="103">
        <f t="shared" si="24"/>
        <v>0</v>
      </c>
      <c r="F221" s="53">
        <v>0</v>
      </c>
      <c r="G221" s="24">
        <f t="shared" si="20"/>
        <v>0</v>
      </c>
      <c r="H221" s="15">
        <f>IF(G221&gt;0,0,IF(AND(H220=0,SUM(K221:L221)=0),0,IF(D221=0,PPMT(D$65/12,COUNTIF(D$76:D221,0),D$66,Primary_Loan_Amount),0)))</f>
        <v>0</v>
      </c>
      <c r="I221" s="15">
        <f>-SUM(Primary_Loan_Amount)-SUM(H$76:H221)</f>
        <v>-23217621.943162207</v>
      </c>
      <c r="J221" s="24">
        <f t="shared" si="21"/>
        <v>0</v>
      </c>
      <c r="K221" s="51">
        <f>IF(L221=1,0,IF(SUM(K$81:K220)&gt;=Construction_Timeline,0,1))</f>
        <v>0</v>
      </c>
      <c r="L221" s="13">
        <f t="shared" si="23"/>
        <v>0</v>
      </c>
      <c r="M221" s="54">
        <f t="shared" si="25"/>
        <v>50437</v>
      </c>
      <c r="N221" s="7"/>
      <c r="O221" s="12"/>
      <c r="P221" s="98"/>
      <c r="Q221" s="98"/>
      <c r="R221" s="98"/>
      <c r="S221" s="98"/>
      <c r="T221" s="3"/>
      <c r="U221" s="98"/>
      <c r="V221" s="98"/>
      <c r="W221" s="98"/>
      <c r="X221" s="98"/>
    </row>
    <row r="222" spans="2:24">
      <c r="B222" s="7"/>
      <c r="C222" s="7">
        <v>146</v>
      </c>
      <c r="D222" s="24">
        <f t="shared" si="22"/>
        <v>0</v>
      </c>
      <c r="E222" s="103">
        <f t="shared" si="24"/>
        <v>0</v>
      </c>
      <c r="F222" s="53">
        <v>0</v>
      </c>
      <c r="G222" s="24">
        <f t="shared" si="20"/>
        <v>0</v>
      </c>
      <c r="H222" s="15">
        <f>IF(G222&gt;0,0,IF(AND(H221=0,SUM(K222:L222)=0),0,IF(D222=0,PPMT(D$65/12,COUNTIF(D$76:D222,0),D$66,Primary_Loan_Amount),0)))</f>
        <v>0</v>
      </c>
      <c r="I222" s="15">
        <f>-SUM(Primary_Loan_Amount)-SUM(H$76:H222)</f>
        <v>-23217621.943162207</v>
      </c>
      <c r="J222" s="24">
        <f t="shared" si="21"/>
        <v>0</v>
      </c>
      <c r="K222" s="51">
        <f>IF(L222=1,0,IF(SUM(K$81:K221)&gt;=Construction_Timeline,0,1))</f>
        <v>0</v>
      </c>
      <c r="L222" s="13">
        <f t="shared" si="23"/>
        <v>0</v>
      </c>
      <c r="M222" s="54">
        <f t="shared" si="25"/>
        <v>50465</v>
      </c>
      <c r="N222" s="7"/>
      <c r="O222" s="12"/>
      <c r="P222" s="98"/>
      <c r="Q222" s="98"/>
      <c r="R222" s="98"/>
      <c r="S222" s="98"/>
      <c r="T222" s="3"/>
      <c r="U222" s="98"/>
      <c r="V222" s="98"/>
      <c r="W222" s="98"/>
      <c r="X222" s="98"/>
    </row>
    <row r="223" spans="2:24">
      <c r="B223" s="7"/>
      <c r="C223" s="7">
        <v>147</v>
      </c>
      <c r="D223" s="24">
        <f t="shared" si="22"/>
        <v>0</v>
      </c>
      <c r="E223" s="103">
        <f t="shared" si="24"/>
        <v>0</v>
      </c>
      <c r="F223" s="53">
        <v>0</v>
      </c>
      <c r="G223" s="24">
        <f t="shared" si="20"/>
        <v>0</v>
      </c>
      <c r="H223" s="15">
        <f>IF(G223&gt;0,0,IF(AND(H222=0,SUM(K223:L223)=0),0,IF(D223=0,PPMT(D$65/12,COUNTIF(D$76:D223,0),D$66,Primary_Loan_Amount),0)))</f>
        <v>0</v>
      </c>
      <c r="I223" s="15">
        <f>-SUM(Primary_Loan_Amount)-SUM(H$76:H223)</f>
        <v>-23217621.943162207</v>
      </c>
      <c r="J223" s="24">
        <f t="shared" si="21"/>
        <v>0</v>
      </c>
      <c r="K223" s="51">
        <f>IF(L223=1,0,IF(SUM(K$81:K222)&gt;=Construction_Timeline,0,1))</f>
        <v>0</v>
      </c>
      <c r="L223" s="13">
        <f t="shared" si="23"/>
        <v>0</v>
      </c>
      <c r="M223" s="54">
        <f t="shared" si="25"/>
        <v>50496</v>
      </c>
      <c r="N223" s="7"/>
      <c r="O223" s="12"/>
      <c r="P223" s="98"/>
      <c r="Q223" s="98"/>
      <c r="R223" s="98"/>
      <c r="S223" s="98"/>
      <c r="T223" s="3"/>
      <c r="U223" s="98"/>
      <c r="V223" s="98"/>
      <c r="W223" s="98"/>
      <c r="X223" s="98"/>
    </row>
    <row r="224" spans="2:24">
      <c r="B224" s="7"/>
      <c r="C224" s="7">
        <v>148</v>
      </c>
      <c r="D224" s="24">
        <f t="shared" si="22"/>
        <v>0</v>
      </c>
      <c r="E224" s="103">
        <f t="shared" si="24"/>
        <v>0</v>
      </c>
      <c r="F224" s="53">
        <v>0</v>
      </c>
      <c r="G224" s="24">
        <f t="shared" si="20"/>
        <v>0</v>
      </c>
      <c r="H224" s="15">
        <f>IF(G224&gt;0,0,IF(AND(H223=0,SUM(K224:L224)=0),0,IF(D224=0,PPMT(D$65/12,COUNTIF(D$76:D224,0),D$66,Primary_Loan_Amount),0)))</f>
        <v>0</v>
      </c>
      <c r="I224" s="15">
        <f>-SUM(Primary_Loan_Amount)-SUM(H$76:H224)</f>
        <v>-23217621.943162207</v>
      </c>
      <c r="J224" s="24">
        <f t="shared" si="21"/>
        <v>0</v>
      </c>
      <c r="K224" s="51">
        <f>IF(L224=1,0,IF(SUM(K$81:K223)&gt;=Construction_Timeline,0,1))</f>
        <v>0</v>
      </c>
      <c r="L224" s="13">
        <f t="shared" si="23"/>
        <v>0</v>
      </c>
      <c r="M224" s="54">
        <f t="shared" si="25"/>
        <v>50526</v>
      </c>
      <c r="N224" s="7"/>
      <c r="O224" s="12"/>
      <c r="P224" s="98"/>
      <c r="Q224" s="98"/>
      <c r="R224" s="98"/>
      <c r="S224" s="98"/>
      <c r="T224" s="3"/>
      <c r="U224" s="98"/>
      <c r="V224" s="98"/>
      <c r="W224" s="98"/>
      <c r="X224" s="98"/>
    </row>
    <row r="225" spans="2:24">
      <c r="B225" s="7"/>
      <c r="C225" s="7">
        <v>149</v>
      </c>
      <c r="D225" s="24">
        <f t="shared" si="22"/>
        <v>0</v>
      </c>
      <c r="E225" s="103">
        <f t="shared" si="24"/>
        <v>0</v>
      </c>
      <c r="F225" s="53">
        <v>0</v>
      </c>
      <c r="G225" s="24">
        <f t="shared" si="20"/>
        <v>0</v>
      </c>
      <c r="H225" s="15">
        <f>IF(G225&gt;0,0,IF(AND(H224=0,SUM(K225:L225)=0),0,IF(D225=0,PPMT(D$65/12,COUNTIF(D$76:D225,0),D$66,Primary_Loan_Amount),0)))</f>
        <v>0</v>
      </c>
      <c r="I225" s="15">
        <f>-SUM(Primary_Loan_Amount)-SUM(H$76:H225)</f>
        <v>-23217621.943162207</v>
      </c>
      <c r="J225" s="24">
        <f t="shared" si="21"/>
        <v>0</v>
      </c>
      <c r="K225" s="51">
        <f>IF(L225=1,0,IF(SUM(K$81:K224)&gt;=Construction_Timeline,0,1))</f>
        <v>0</v>
      </c>
      <c r="L225" s="13">
        <f t="shared" si="23"/>
        <v>0</v>
      </c>
      <c r="M225" s="54">
        <f t="shared" si="25"/>
        <v>50557</v>
      </c>
      <c r="N225" s="7"/>
      <c r="O225" s="12"/>
      <c r="P225" s="98"/>
      <c r="Q225" s="98"/>
      <c r="R225" s="98"/>
      <c r="S225" s="98"/>
      <c r="T225" s="3"/>
      <c r="U225" s="98"/>
      <c r="V225" s="98"/>
      <c r="W225" s="98"/>
      <c r="X225" s="98"/>
    </row>
    <row r="226" spans="2:24">
      <c r="B226" s="7"/>
      <c r="C226" s="7">
        <v>150</v>
      </c>
      <c r="D226" s="24">
        <f t="shared" si="22"/>
        <v>0</v>
      </c>
      <c r="E226" s="103">
        <f t="shared" si="24"/>
        <v>0</v>
      </c>
      <c r="F226" s="53">
        <v>0</v>
      </c>
      <c r="G226" s="24">
        <f t="shared" si="20"/>
        <v>0</v>
      </c>
      <c r="H226" s="15">
        <f>IF(G226&gt;0,0,IF(AND(H225=0,SUM(K226:L226)=0),0,IF(D226=0,PPMT(D$65/12,COUNTIF(D$76:D226,0),D$66,Primary_Loan_Amount),0)))</f>
        <v>0</v>
      </c>
      <c r="I226" s="15">
        <f>-SUM(Primary_Loan_Amount)-SUM(H$76:H226)</f>
        <v>-23217621.943162207</v>
      </c>
      <c r="J226" s="24">
        <f t="shared" si="21"/>
        <v>0</v>
      </c>
      <c r="K226" s="51">
        <f>IF(L226=1,0,IF(SUM(K$81:K225)&gt;=Construction_Timeline,0,1))</f>
        <v>0</v>
      </c>
      <c r="L226" s="13">
        <f t="shared" si="23"/>
        <v>0</v>
      </c>
      <c r="M226" s="54">
        <f t="shared" si="25"/>
        <v>50587</v>
      </c>
      <c r="N226" s="7"/>
      <c r="O226" s="12"/>
      <c r="P226" s="98"/>
      <c r="Q226" s="98"/>
      <c r="R226" s="98"/>
      <c r="S226" s="98"/>
      <c r="T226" s="3"/>
      <c r="U226" s="98"/>
      <c r="V226" s="98"/>
      <c r="W226" s="98"/>
      <c r="X226" s="98"/>
    </row>
    <row r="227" spans="2:24">
      <c r="B227" s="7"/>
      <c r="C227" s="7">
        <v>151</v>
      </c>
      <c r="D227" s="24">
        <f t="shared" si="22"/>
        <v>0</v>
      </c>
      <c r="E227" s="103">
        <f t="shared" si="24"/>
        <v>0</v>
      </c>
      <c r="F227" s="53">
        <v>0</v>
      </c>
      <c r="G227" s="24">
        <f t="shared" si="20"/>
        <v>0</v>
      </c>
      <c r="H227" s="15">
        <f>IF(G227&gt;0,0,IF(AND(H226=0,SUM(K227:L227)=0),0,IF(D227=0,PPMT(D$65/12,COUNTIF(D$76:D227,0),D$66,Primary_Loan_Amount),0)))</f>
        <v>0</v>
      </c>
      <c r="I227" s="15">
        <f>-SUM(Primary_Loan_Amount)-SUM(H$76:H227)</f>
        <v>-23217621.943162207</v>
      </c>
      <c r="J227" s="24">
        <f t="shared" si="21"/>
        <v>0</v>
      </c>
      <c r="K227" s="51">
        <f>IF(L227=1,0,IF(SUM(K$81:K226)&gt;=Construction_Timeline,0,1))</f>
        <v>0</v>
      </c>
      <c r="L227" s="13">
        <f t="shared" si="23"/>
        <v>0</v>
      </c>
      <c r="M227" s="54">
        <f t="shared" si="25"/>
        <v>50618</v>
      </c>
      <c r="N227" s="7"/>
      <c r="O227" s="12"/>
      <c r="P227" s="98"/>
      <c r="Q227" s="98"/>
      <c r="R227" s="98"/>
      <c r="S227" s="98"/>
      <c r="T227" s="3"/>
      <c r="U227" s="98"/>
      <c r="V227" s="98"/>
      <c r="W227" s="98"/>
      <c r="X227" s="98"/>
    </row>
    <row r="228" spans="2:24">
      <c r="B228" s="7"/>
      <c r="C228" s="7">
        <v>152</v>
      </c>
      <c r="D228" s="24">
        <f t="shared" si="22"/>
        <v>0</v>
      </c>
      <c r="E228" s="103">
        <f t="shared" si="24"/>
        <v>0</v>
      </c>
      <c r="F228" s="53">
        <v>0</v>
      </c>
      <c r="G228" s="24">
        <f t="shared" si="20"/>
        <v>0</v>
      </c>
      <c r="H228" s="15">
        <f>IF(G228&gt;0,0,IF(AND(H227=0,SUM(K228:L228)=0),0,IF(D228=0,PPMT(D$65/12,COUNTIF(D$76:D228,0),D$66,Primary_Loan_Amount),0)))</f>
        <v>0</v>
      </c>
      <c r="I228" s="15">
        <f>-SUM(Primary_Loan_Amount)-SUM(H$76:H228)</f>
        <v>-23217621.943162207</v>
      </c>
      <c r="J228" s="24">
        <f t="shared" si="21"/>
        <v>0</v>
      </c>
      <c r="K228" s="51">
        <f>IF(L228=1,0,IF(SUM(K$81:K227)&gt;=Construction_Timeline,0,1))</f>
        <v>0</v>
      </c>
      <c r="L228" s="13">
        <f t="shared" si="23"/>
        <v>0</v>
      </c>
      <c r="M228" s="54">
        <f t="shared" si="25"/>
        <v>50649</v>
      </c>
      <c r="N228" s="7"/>
      <c r="O228" s="12"/>
      <c r="P228" s="98"/>
      <c r="Q228" s="98"/>
      <c r="R228" s="98"/>
      <c r="S228" s="98"/>
      <c r="T228" s="3"/>
      <c r="U228" s="98"/>
      <c r="V228" s="98"/>
      <c r="W228" s="98"/>
      <c r="X228" s="98"/>
    </row>
    <row r="229" spans="2:24">
      <c r="B229" s="7"/>
      <c r="C229" s="7">
        <v>153</v>
      </c>
      <c r="D229" s="24">
        <f t="shared" si="22"/>
        <v>0</v>
      </c>
      <c r="E229" s="103">
        <f t="shared" si="24"/>
        <v>0</v>
      </c>
      <c r="F229" s="53">
        <v>0</v>
      </c>
      <c r="G229" s="24">
        <f t="shared" si="20"/>
        <v>0</v>
      </c>
      <c r="H229" s="15">
        <f>IF(G229&gt;0,0,IF(AND(H228=0,SUM(K229:L229)=0),0,IF(D229=0,PPMT(D$65/12,COUNTIF(D$76:D229,0),D$66,Primary_Loan_Amount),0)))</f>
        <v>0</v>
      </c>
      <c r="I229" s="15">
        <f>-SUM(Primary_Loan_Amount)-SUM(H$76:H229)</f>
        <v>-23217621.943162207</v>
      </c>
      <c r="J229" s="24">
        <f t="shared" si="21"/>
        <v>0</v>
      </c>
      <c r="K229" s="51">
        <f>IF(L229=1,0,IF(SUM(K$81:K228)&gt;=Construction_Timeline,0,1))</f>
        <v>0</v>
      </c>
      <c r="L229" s="13">
        <f t="shared" si="23"/>
        <v>0</v>
      </c>
      <c r="M229" s="54">
        <f t="shared" si="25"/>
        <v>50679</v>
      </c>
      <c r="N229" s="7"/>
      <c r="O229" s="12"/>
      <c r="P229" s="98"/>
      <c r="Q229" s="98"/>
      <c r="R229" s="98"/>
      <c r="S229" s="98"/>
      <c r="T229" s="3"/>
      <c r="U229" s="98"/>
      <c r="V229" s="98"/>
      <c r="W229" s="98"/>
      <c r="X229" s="98"/>
    </row>
    <row r="230" spans="2:24">
      <c r="B230" s="7"/>
      <c r="C230" s="7">
        <v>154</v>
      </c>
      <c r="D230" s="24">
        <f t="shared" si="22"/>
        <v>0</v>
      </c>
      <c r="E230" s="103">
        <f t="shared" si="24"/>
        <v>0</v>
      </c>
      <c r="F230" s="53">
        <v>0</v>
      </c>
      <c r="G230" s="24">
        <f t="shared" si="20"/>
        <v>0</v>
      </c>
      <c r="H230" s="15">
        <f>IF(G230&gt;0,0,IF(AND(H229=0,SUM(K230:L230)=0),0,IF(D230=0,PPMT(D$65/12,COUNTIF(D$76:D230,0),D$66,Primary_Loan_Amount),0)))</f>
        <v>0</v>
      </c>
      <c r="I230" s="15">
        <f>-SUM(Primary_Loan_Amount)-SUM(H$76:H230)</f>
        <v>-23217621.943162207</v>
      </c>
      <c r="J230" s="24">
        <f t="shared" si="21"/>
        <v>0</v>
      </c>
      <c r="K230" s="51">
        <f>IF(L230=1,0,IF(SUM(K$81:K229)&gt;=Construction_Timeline,0,1))</f>
        <v>0</v>
      </c>
      <c r="L230" s="13">
        <f t="shared" si="23"/>
        <v>0</v>
      </c>
      <c r="M230" s="54">
        <f t="shared" si="25"/>
        <v>50710</v>
      </c>
      <c r="N230" s="7"/>
      <c r="O230" s="12"/>
      <c r="P230" s="98"/>
      <c r="Q230" s="98"/>
      <c r="R230" s="98"/>
      <c r="S230" s="98"/>
      <c r="T230" s="3"/>
      <c r="U230" s="98"/>
      <c r="V230" s="98"/>
      <c r="W230" s="98"/>
      <c r="X230" s="98"/>
    </row>
    <row r="231" spans="2:24">
      <c r="B231" s="7"/>
      <c r="C231" s="7">
        <v>155</v>
      </c>
      <c r="D231" s="24">
        <f t="shared" si="22"/>
        <v>0</v>
      </c>
      <c r="E231" s="103">
        <f t="shared" si="24"/>
        <v>0</v>
      </c>
      <c r="F231" s="53">
        <v>0</v>
      </c>
      <c r="G231" s="24">
        <f t="shared" si="20"/>
        <v>0</v>
      </c>
      <c r="H231" s="15">
        <f>IF(G231&gt;0,0,IF(AND(H230=0,SUM(K231:L231)=0),0,IF(D231=0,PPMT(D$65/12,COUNTIF(D$76:D231,0),D$66,Primary_Loan_Amount),0)))</f>
        <v>0</v>
      </c>
      <c r="I231" s="15">
        <f>-SUM(Primary_Loan_Amount)-SUM(H$76:H231)</f>
        <v>-23217621.943162207</v>
      </c>
      <c r="J231" s="24">
        <f t="shared" si="21"/>
        <v>0</v>
      </c>
      <c r="K231" s="51">
        <f>IF(L231=1,0,IF(SUM(K$81:K230)&gt;=Construction_Timeline,0,1))</f>
        <v>0</v>
      </c>
      <c r="L231" s="13">
        <f t="shared" si="23"/>
        <v>0</v>
      </c>
      <c r="M231" s="54">
        <f t="shared" si="25"/>
        <v>50740</v>
      </c>
      <c r="N231" s="7"/>
      <c r="O231" s="12"/>
      <c r="P231" s="98"/>
      <c r="Q231" s="98"/>
      <c r="R231" s="98"/>
      <c r="S231" s="98"/>
      <c r="T231" s="3"/>
      <c r="U231" s="98"/>
      <c r="V231" s="98"/>
      <c r="W231" s="98"/>
      <c r="X231" s="98"/>
    </row>
    <row r="232" spans="2:24">
      <c r="B232" s="7"/>
      <c r="C232" s="7">
        <v>156</v>
      </c>
      <c r="D232" s="24">
        <f t="shared" si="22"/>
        <v>0</v>
      </c>
      <c r="E232" s="103">
        <f t="shared" si="24"/>
        <v>0</v>
      </c>
      <c r="F232" s="53">
        <v>0</v>
      </c>
      <c r="G232" s="24">
        <f t="shared" si="20"/>
        <v>0</v>
      </c>
      <c r="H232" s="15">
        <f>IF(G232&gt;0,0,IF(AND(H231=0,SUM(K232:L232)=0),0,IF(D232=0,PPMT(D$65/12,COUNTIF(D$76:D232,0),D$66,Primary_Loan_Amount),0)))</f>
        <v>0</v>
      </c>
      <c r="I232" s="15">
        <f>-SUM(Primary_Loan_Amount)-SUM(H$76:H232)</f>
        <v>-23217621.943162207</v>
      </c>
      <c r="J232" s="24">
        <f t="shared" si="21"/>
        <v>0</v>
      </c>
      <c r="K232" s="51">
        <f>IF(L232=1,0,IF(SUM(K$81:K231)&gt;=Construction_Timeline,0,1))</f>
        <v>0</v>
      </c>
      <c r="L232" s="13">
        <f t="shared" si="23"/>
        <v>0</v>
      </c>
      <c r="M232" s="54">
        <f t="shared" si="25"/>
        <v>50771</v>
      </c>
      <c r="N232" s="7"/>
      <c r="O232" s="12"/>
      <c r="P232" s="98"/>
      <c r="Q232" s="98"/>
      <c r="R232" s="98"/>
      <c r="S232" s="98"/>
      <c r="T232" s="3"/>
      <c r="U232" s="98"/>
      <c r="V232" s="98"/>
      <c r="W232" s="98"/>
      <c r="X232" s="98"/>
    </row>
    <row r="233" spans="2:24">
      <c r="B233" s="7"/>
      <c r="C233" s="7">
        <v>157</v>
      </c>
      <c r="D233" s="24">
        <f t="shared" si="22"/>
        <v>0</v>
      </c>
      <c r="E233" s="103">
        <f t="shared" si="24"/>
        <v>0</v>
      </c>
      <c r="F233" s="53">
        <v>0</v>
      </c>
      <c r="G233" s="24">
        <f t="shared" si="20"/>
        <v>0</v>
      </c>
      <c r="H233" s="15">
        <f>IF(G233&gt;0,0,IF(AND(H232=0,SUM(K233:L233)=0),0,IF(D233=0,PPMT(D$65/12,COUNTIF(D$76:D233,0),D$66,Primary_Loan_Amount),0)))</f>
        <v>0</v>
      </c>
      <c r="I233" s="15">
        <f>-SUM(Primary_Loan_Amount)-SUM(H$76:H233)</f>
        <v>-23217621.943162207</v>
      </c>
      <c r="J233" s="24">
        <f t="shared" si="21"/>
        <v>0</v>
      </c>
      <c r="K233" s="51">
        <f>IF(L233=1,0,IF(SUM(K$81:K232)&gt;=Construction_Timeline,0,1))</f>
        <v>0</v>
      </c>
      <c r="L233" s="13">
        <f t="shared" si="23"/>
        <v>0</v>
      </c>
      <c r="M233" s="54">
        <f t="shared" si="25"/>
        <v>50802</v>
      </c>
      <c r="N233" s="7"/>
      <c r="O233" s="12"/>
      <c r="P233" s="98"/>
      <c r="Q233" s="98"/>
      <c r="R233" s="98"/>
      <c r="S233" s="98"/>
      <c r="T233" s="3"/>
      <c r="U233" s="98"/>
      <c r="V233" s="98"/>
      <c r="W233" s="98"/>
      <c r="X233" s="98"/>
    </row>
    <row r="234" spans="2:24">
      <c r="B234" s="7"/>
      <c r="C234" s="7">
        <v>158</v>
      </c>
      <c r="D234" s="24">
        <f t="shared" si="22"/>
        <v>0</v>
      </c>
      <c r="E234" s="103">
        <f t="shared" si="24"/>
        <v>0</v>
      </c>
      <c r="F234" s="53">
        <v>0</v>
      </c>
      <c r="G234" s="24">
        <f t="shared" si="20"/>
        <v>0</v>
      </c>
      <c r="H234" s="15">
        <f>IF(G234&gt;0,0,IF(AND(H233=0,SUM(K234:L234)=0),0,IF(D234=0,PPMT(D$65/12,COUNTIF(D$76:D234,0),D$66,Primary_Loan_Amount),0)))</f>
        <v>0</v>
      </c>
      <c r="I234" s="15">
        <f>-SUM(Primary_Loan_Amount)-SUM(H$76:H234)</f>
        <v>-23217621.943162207</v>
      </c>
      <c r="J234" s="24">
        <f t="shared" si="21"/>
        <v>0</v>
      </c>
      <c r="K234" s="51">
        <f>IF(L234=1,0,IF(SUM(K$81:K233)&gt;=Construction_Timeline,0,1))</f>
        <v>0</v>
      </c>
      <c r="L234" s="13">
        <f t="shared" si="23"/>
        <v>0</v>
      </c>
      <c r="M234" s="54">
        <f t="shared" si="25"/>
        <v>50830</v>
      </c>
      <c r="N234" s="7"/>
      <c r="O234" s="12"/>
      <c r="P234" s="98"/>
      <c r="Q234" s="98"/>
      <c r="R234" s="98"/>
      <c r="S234" s="98"/>
      <c r="T234" s="3"/>
      <c r="U234" s="98"/>
      <c r="V234" s="98"/>
      <c r="W234" s="98"/>
      <c r="X234" s="98"/>
    </row>
    <row r="235" spans="2:24">
      <c r="B235" s="7"/>
      <c r="C235" s="7">
        <v>159</v>
      </c>
      <c r="D235" s="24">
        <f t="shared" si="22"/>
        <v>0</v>
      </c>
      <c r="E235" s="103">
        <f t="shared" si="24"/>
        <v>0</v>
      </c>
      <c r="F235" s="53">
        <v>0</v>
      </c>
      <c r="G235" s="24">
        <f t="shared" si="20"/>
        <v>0</v>
      </c>
      <c r="H235" s="15">
        <f>IF(G235&gt;0,0,IF(AND(H234=0,SUM(K235:L235)=0),0,IF(D235=0,PPMT(D$65/12,COUNTIF(D$76:D235,0),D$66,Primary_Loan_Amount),0)))</f>
        <v>0</v>
      </c>
      <c r="I235" s="15">
        <f>-SUM(Primary_Loan_Amount)-SUM(H$76:H235)</f>
        <v>-23217621.943162207</v>
      </c>
      <c r="J235" s="24">
        <f t="shared" si="21"/>
        <v>0</v>
      </c>
      <c r="K235" s="51">
        <f>IF(L235=1,0,IF(SUM(K$81:K234)&gt;=Construction_Timeline,0,1))</f>
        <v>0</v>
      </c>
      <c r="L235" s="13">
        <f t="shared" si="23"/>
        <v>0</v>
      </c>
      <c r="M235" s="54">
        <f t="shared" si="25"/>
        <v>50861</v>
      </c>
      <c r="N235" s="7"/>
      <c r="O235" s="12"/>
      <c r="P235" s="98"/>
      <c r="Q235" s="98"/>
      <c r="R235" s="98"/>
      <c r="S235" s="98"/>
      <c r="T235" s="3"/>
      <c r="U235" s="98"/>
      <c r="V235" s="98"/>
      <c r="W235" s="98"/>
      <c r="X235" s="98"/>
    </row>
    <row r="236" spans="2:24">
      <c r="B236" s="7"/>
      <c r="C236" s="7">
        <v>160</v>
      </c>
      <c r="D236" s="24">
        <f t="shared" si="22"/>
        <v>0</v>
      </c>
      <c r="E236" s="103">
        <f t="shared" si="24"/>
        <v>0</v>
      </c>
      <c r="F236" s="53">
        <v>0</v>
      </c>
      <c r="G236" s="24">
        <f t="shared" ref="G236:G256" si="26">IF(C236=SUM(Month_of_Sale,PreDev_Timeline,Construction_Timeline),Sale_Price*(1-D$64),0)</f>
        <v>0</v>
      </c>
      <c r="H236" s="15">
        <f>IF(G236&gt;0,0,IF(AND(H235=0,SUM(K236:L236)=0),0,IF(D236=0,PPMT(D$65/12,COUNTIF(D$76:D236,0),D$66,Primary_Loan_Amount),0)))</f>
        <v>0</v>
      </c>
      <c r="I236" s="15">
        <f>-SUM(Primary_Loan_Amount)-SUM(H$76:H236)</f>
        <v>-23217621.943162207</v>
      </c>
      <c r="J236" s="24">
        <f t="shared" ref="J236:J256" si="27">SUM(D236,F236,G236)+IF(G236&gt;0,I236)</f>
        <v>0</v>
      </c>
      <c r="K236" s="51">
        <f>IF(L236=1,0,IF(SUM(K$81:K235)&gt;=Construction_Timeline,0,1))</f>
        <v>0</v>
      </c>
      <c r="L236" s="13">
        <f t="shared" si="23"/>
        <v>0</v>
      </c>
      <c r="M236" s="54">
        <f t="shared" si="25"/>
        <v>50891</v>
      </c>
      <c r="N236" s="7"/>
      <c r="O236" s="12"/>
      <c r="P236" s="98"/>
      <c r="Q236" s="98"/>
      <c r="R236" s="98"/>
      <c r="S236" s="98"/>
      <c r="T236" s="3"/>
      <c r="U236" s="98"/>
      <c r="V236" s="98"/>
      <c r="W236" s="98"/>
      <c r="X236" s="98"/>
    </row>
    <row r="237" spans="2:24">
      <c r="B237" s="7"/>
      <c r="C237" s="7">
        <v>161</v>
      </c>
      <c r="D237" s="24">
        <f t="shared" ref="D237:D255" si="28">IF(AND(C236&gt;0,E236&gt;=D236),E236,IF(L237=1,-Pre_Development_Costs/PreDev_Timeline,IF(K237=1,MAX(E236,-D$52/Construction_Timeline),0)))</f>
        <v>0</v>
      </c>
      <c r="E237" s="103">
        <f t="shared" si="24"/>
        <v>0</v>
      </c>
      <c r="F237" s="53">
        <v>0</v>
      </c>
      <c r="G237" s="24">
        <f t="shared" si="26"/>
        <v>0</v>
      </c>
      <c r="H237" s="15">
        <f>IF(G237&gt;0,0,IF(AND(H236=0,SUM(K237:L237)=0),0,IF(D237=0,PPMT(D$65/12,COUNTIF(D$76:D237,0),D$66,Primary_Loan_Amount),0)))</f>
        <v>0</v>
      </c>
      <c r="I237" s="15">
        <f>-SUM(Primary_Loan_Amount)-SUM(H$76:H237)</f>
        <v>-23217621.943162207</v>
      </c>
      <c r="J237" s="24">
        <f t="shared" si="27"/>
        <v>0</v>
      </c>
      <c r="K237" s="51">
        <f>IF(L237=1,0,IF(SUM(K$81:K236)&gt;=Construction_Timeline,0,1))</f>
        <v>0</v>
      </c>
      <c r="L237" s="13">
        <f t="shared" ref="L237:L256" si="29">IF(C237&lt;=PreDev_Timeline,1,0)</f>
        <v>0</v>
      </c>
      <c r="M237" s="54">
        <f t="shared" si="25"/>
        <v>50922</v>
      </c>
      <c r="N237" s="7"/>
      <c r="O237" s="12"/>
      <c r="P237" s="98"/>
      <c r="Q237" s="98"/>
      <c r="R237" s="98"/>
      <c r="S237" s="98"/>
      <c r="T237" s="3"/>
      <c r="U237" s="98"/>
      <c r="V237" s="98"/>
      <c r="W237" s="98"/>
      <c r="X237" s="98"/>
    </row>
    <row r="238" spans="2:24">
      <c r="B238" s="7"/>
      <c r="C238" s="7">
        <v>162</v>
      </c>
      <c r="D238" s="24">
        <f t="shared" si="28"/>
        <v>0</v>
      </c>
      <c r="E238" s="103">
        <f t="shared" si="24"/>
        <v>0</v>
      </c>
      <c r="F238" s="53">
        <v>0</v>
      </c>
      <c r="G238" s="24">
        <f t="shared" si="26"/>
        <v>0</v>
      </c>
      <c r="H238" s="15">
        <f>IF(G238&gt;0,0,IF(AND(H237=0,SUM(K238:L238)=0),0,IF(D238=0,PPMT(D$65/12,COUNTIF(D$76:D238,0),D$66,Primary_Loan_Amount),0)))</f>
        <v>0</v>
      </c>
      <c r="I238" s="15">
        <f>-SUM(Primary_Loan_Amount)-SUM(H$76:H238)</f>
        <v>-23217621.943162207</v>
      </c>
      <c r="J238" s="24">
        <f t="shared" si="27"/>
        <v>0</v>
      </c>
      <c r="K238" s="51">
        <f>IF(L238=1,0,IF(SUM(K$81:K237)&gt;=Construction_Timeline,0,1))</f>
        <v>0</v>
      </c>
      <c r="L238" s="13">
        <f t="shared" si="29"/>
        <v>0</v>
      </c>
      <c r="M238" s="54">
        <f t="shared" si="25"/>
        <v>50952</v>
      </c>
      <c r="N238" s="7"/>
      <c r="O238" s="12"/>
      <c r="P238" s="98"/>
      <c r="Q238" s="98"/>
      <c r="R238" s="98"/>
      <c r="S238" s="98"/>
      <c r="T238" s="3"/>
      <c r="U238" s="98"/>
      <c r="V238" s="98"/>
      <c r="W238" s="98"/>
      <c r="X238" s="98"/>
    </row>
    <row r="239" spans="2:24">
      <c r="B239" s="7"/>
      <c r="C239" s="7">
        <v>163</v>
      </c>
      <c r="D239" s="24">
        <f t="shared" si="28"/>
        <v>0</v>
      </c>
      <c r="E239" s="103">
        <f t="shared" si="24"/>
        <v>0</v>
      </c>
      <c r="F239" s="53">
        <v>0</v>
      </c>
      <c r="G239" s="24">
        <f t="shared" si="26"/>
        <v>0</v>
      </c>
      <c r="H239" s="15">
        <f>IF(G239&gt;0,0,IF(AND(H238=0,SUM(K239:L239)=0),0,IF(D239=0,PPMT(D$65/12,COUNTIF(D$76:D239,0),D$66,Primary_Loan_Amount),0)))</f>
        <v>0</v>
      </c>
      <c r="I239" s="15">
        <f>-SUM(Primary_Loan_Amount)-SUM(H$76:H239)</f>
        <v>-23217621.943162207</v>
      </c>
      <c r="J239" s="24">
        <f t="shared" si="27"/>
        <v>0</v>
      </c>
      <c r="K239" s="51">
        <f>IF(L239=1,0,IF(SUM(K$81:K238)&gt;=Construction_Timeline,0,1))</f>
        <v>0</v>
      </c>
      <c r="L239" s="13">
        <f t="shared" si="29"/>
        <v>0</v>
      </c>
      <c r="M239" s="54">
        <f t="shared" si="25"/>
        <v>50983</v>
      </c>
      <c r="N239" s="7"/>
      <c r="O239" s="12"/>
      <c r="P239" s="98"/>
      <c r="Q239" s="98"/>
      <c r="R239" s="98"/>
      <c r="S239" s="98"/>
      <c r="T239" s="3"/>
      <c r="U239" s="98"/>
      <c r="V239" s="98"/>
      <c r="W239" s="98"/>
      <c r="X239" s="98"/>
    </row>
    <row r="240" spans="2:24">
      <c r="B240" s="7"/>
      <c r="C240" s="7">
        <v>164</v>
      </c>
      <c r="D240" s="24">
        <f t="shared" si="28"/>
        <v>0</v>
      </c>
      <c r="E240" s="103">
        <f t="shared" si="24"/>
        <v>0</v>
      </c>
      <c r="F240" s="53">
        <v>0</v>
      </c>
      <c r="G240" s="24">
        <f t="shared" si="26"/>
        <v>0</v>
      </c>
      <c r="H240" s="15">
        <f>IF(G240&gt;0,0,IF(AND(H239=0,SUM(K240:L240)=0),0,IF(D240=0,PPMT(D$65/12,COUNTIF(D$76:D240,0),D$66,Primary_Loan_Amount),0)))</f>
        <v>0</v>
      </c>
      <c r="I240" s="15">
        <f>-SUM(Primary_Loan_Amount)-SUM(H$76:H240)</f>
        <v>-23217621.943162207</v>
      </c>
      <c r="J240" s="24">
        <f t="shared" si="27"/>
        <v>0</v>
      </c>
      <c r="K240" s="51">
        <f>IF(L240=1,0,IF(SUM(K$81:K239)&gt;=Construction_Timeline,0,1))</f>
        <v>0</v>
      </c>
      <c r="L240" s="13">
        <f t="shared" si="29"/>
        <v>0</v>
      </c>
      <c r="M240" s="54">
        <f t="shared" si="25"/>
        <v>51014</v>
      </c>
      <c r="N240" s="7"/>
      <c r="O240" s="12"/>
      <c r="P240" s="98"/>
      <c r="Q240" s="98"/>
      <c r="R240" s="98"/>
      <c r="S240" s="98"/>
      <c r="T240" s="3"/>
      <c r="U240" s="98"/>
      <c r="V240" s="98"/>
      <c r="W240" s="98"/>
      <c r="X240" s="98"/>
    </row>
    <row r="241" spans="2:24">
      <c r="B241" s="7"/>
      <c r="C241" s="7">
        <v>165</v>
      </c>
      <c r="D241" s="24">
        <f t="shared" si="28"/>
        <v>0</v>
      </c>
      <c r="E241" s="103">
        <f t="shared" si="24"/>
        <v>0</v>
      </c>
      <c r="F241" s="53">
        <v>0</v>
      </c>
      <c r="G241" s="24">
        <f t="shared" si="26"/>
        <v>0</v>
      </c>
      <c r="H241" s="15">
        <f>IF(G241&gt;0,0,IF(AND(H240=0,SUM(K241:L241)=0),0,IF(D241=0,PPMT(D$65/12,COUNTIF(D$76:D241,0),D$66,Primary_Loan_Amount),0)))</f>
        <v>0</v>
      </c>
      <c r="I241" s="15">
        <f>-SUM(Primary_Loan_Amount)-SUM(H$76:H241)</f>
        <v>-23217621.943162207</v>
      </c>
      <c r="J241" s="24">
        <f t="shared" si="27"/>
        <v>0</v>
      </c>
      <c r="K241" s="51">
        <f>IF(L241=1,0,IF(SUM(K$81:K240)&gt;=Construction_Timeline,0,1))</f>
        <v>0</v>
      </c>
      <c r="L241" s="13">
        <f t="shared" si="29"/>
        <v>0</v>
      </c>
      <c r="M241" s="54">
        <f t="shared" si="25"/>
        <v>51044</v>
      </c>
      <c r="N241" s="7"/>
      <c r="O241" s="12"/>
      <c r="P241" s="98"/>
      <c r="Q241" s="98"/>
      <c r="R241" s="98"/>
      <c r="S241" s="98"/>
      <c r="T241" s="3"/>
      <c r="U241" s="98"/>
      <c r="V241" s="98"/>
      <c r="W241" s="98"/>
      <c r="X241" s="98"/>
    </row>
    <row r="242" spans="2:24">
      <c r="B242" s="7"/>
      <c r="C242" s="7">
        <v>166</v>
      </c>
      <c r="D242" s="24">
        <f t="shared" si="28"/>
        <v>0</v>
      </c>
      <c r="E242" s="103">
        <f t="shared" si="24"/>
        <v>0</v>
      </c>
      <c r="F242" s="53">
        <v>0</v>
      </c>
      <c r="G242" s="24">
        <f t="shared" si="26"/>
        <v>0</v>
      </c>
      <c r="H242" s="15">
        <f>IF(G242&gt;0,0,IF(AND(H241=0,SUM(K242:L242)=0),0,IF(D242=0,PPMT(D$65/12,COUNTIF(D$76:D242,0),D$66,Primary_Loan_Amount),0)))</f>
        <v>0</v>
      </c>
      <c r="I242" s="15">
        <f>-SUM(Primary_Loan_Amount)-SUM(H$76:H242)</f>
        <v>-23217621.943162207</v>
      </c>
      <c r="J242" s="24">
        <f t="shared" si="27"/>
        <v>0</v>
      </c>
      <c r="K242" s="51">
        <f>IF(L242=1,0,IF(SUM(K$81:K241)&gt;=Construction_Timeline,0,1))</f>
        <v>0</v>
      </c>
      <c r="L242" s="13">
        <f t="shared" si="29"/>
        <v>0</v>
      </c>
      <c r="M242" s="54">
        <f t="shared" si="25"/>
        <v>51075</v>
      </c>
      <c r="N242" s="7"/>
      <c r="O242" s="12"/>
      <c r="P242" s="98"/>
      <c r="Q242" s="98"/>
      <c r="R242" s="98"/>
      <c r="S242" s="98"/>
      <c r="T242" s="3"/>
      <c r="U242" s="98"/>
      <c r="V242" s="98"/>
      <c r="W242" s="98"/>
      <c r="X242" s="98"/>
    </row>
    <row r="243" spans="2:24">
      <c r="B243" s="7"/>
      <c r="C243" s="7">
        <v>167</v>
      </c>
      <c r="D243" s="24">
        <f t="shared" si="28"/>
        <v>0</v>
      </c>
      <c r="E243" s="103">
        <f t="shared" si="24"/>
        <v>0</v>
      </c>
      <c r="F243" s="53">
        <v>0</v>
      </c>
      <c r="G243" s="24">
        <f t="shared" si="26"/>
        <v>0</v>
      </c>
      <c r="H243" s="15">
        <f>IF(G243&gt;0,0,IF(AND(H242=0,SUM(K243:L243)=0),0,IF(D243=0,PPMT(D$65/12,COUNTIF(D$76:D243,0),D$66,Primary_Loan_Amount),0)))</f>
        <v>0</v>
      </c>
      <c r="I243" s="15">
        <f>-SUM(Primary_Loan_Amount)-SUM(H$76:H243)</f>
        <v>-23217621.943162207</v>
      </c>
      <c r="J243" s="24">
        <f t="shared" si="27"/>
        <v>0</v>
      </c>
      <c r="K243" s="51">
        <f>IF(L243=1,0,IF(SUM(K$81:K242)&gt;=Construction_Timeline,0,1))</f>
        <v>0</v>
      </c>
      <c r="L243" s="13">
        <f t="shared" si="29"/>
        <v>0</v>
      </c>
      <c r="M243" s="54">
        <f t="shared" si="25"/>
        <v>51105</v>
      </c>
      <c r="N243" s="7"/>
      <c r="O243" s="12"/>
      <c r="P243" s="98"/>
      <c r="Q243" s="98"/>
      <c r="R243" s="98"/>
      <c r="S243" s="98"/>
      <c r="T243" s="3"/>
      <c r="U243" s="98"/>
      <c r="V243" s="98"/>
      <c r="W243" s="98"/>
      <c r="X243" s="98"/>
    </row>
    <row r="244" spans="2:24">
      <c r="B244" s="7"/>
      <c r="C244" s="7">
        <v>168</v>
      </c>
      <c r="D244" s="24">
        <f t="shared" si="28"/>
        <v>0</v>
      </c>
      <c r="E244" s="103">
        <f t="shared" si="24"/>
        <v>0</v>
      </c>
      <c r="F244" s="53">
        <v>0</v>
      </c>
      <c r="G244" s="24">
        <f t="shared" si="26"/>
        <v>0</v>
      </c>
      <c r="H244" s="15">
        <f>IF(G244&gt;0,0,IF(AND(H243=0,SUM(K244:L244)=0),0,IF(D244=0,PPMT(D$65/12,COUNTIF(D$76:D244,0),D$66,Primary_Loan_Amount),0)))</f>
        <v>0</v>
      </c>
      <c r="I244" s="15">
        <f>-SUM(Primary_Loan_Amount)-SUM(H$76:H244)</f>
        <v>-23217621.943162207</v>
      </c>
      <c r="J244" s="24">
        <f t="shared" si="27"/>
        <v>0</v>
      </c>
      <c r="K244" s="51">
        <f>IF(L244=1,0,IF(SUM(K$81:K243)&gt;=Construction_Timeline,0,1))</f>
        <v>0</v>
      </c>
      <c r="L244" s="13">
        <f t="shared" si="29"/>
        <v>0</v>
      </c>
      <c r="M244" s="54">
        <f t="shared" si="25"/>
        <v>51136</v>
      </c>
      <c r="N244" s="7"/>
      <c r="O244" s="12"/>
      <c r="P244" s="98"/>
      <c r="Q244" s="98"/>
      <c r="R244" s="98"/>
      <c r="S244" s="98"/>
      <c r="T244" s="3"/>
      <c r="U244" s="98"/>
      <c r="V244" s="98"/>
      <c r="W244" s="98"/>
      <c r="X244" s="98"/>
    </row>
    <row r="245" spans="2:24">
      <c r="B245" s="7"/>
      <c r="C245" s="7">
        <v>169</v>
      </c>
      <c r="D245" s="24">
        <f t="shared" si="28"/>
        <v>0</v>
      </c>
      <c r="E245" s="103">
        <f t="shared" si="24"/>
        <v>0</v>
      </c>
      <c r="F245" s="53">
        <v>0</v>
      </c>
      <c r="G245" s="24">
        <f t="shared" si="26"/>
        <v>0</v>
      </c>
      <c r="H245" s="15">
        <f>IF(G245&gt;0,0,IF(AND(H244=0,SUM(K245:L245)=0),0,IF(D245=0,PPMT(D$65/12,COUNTIF(D$76:D245,0),D$66,Primary_Loan_Amount),0)))</f>
        <v>0</v>
      </c>
      <c r="I245" s="15">
        <f>-SUM(Primary_Loan_Amount)-SUM(H$76:H245)</f>
        <v>-23217621.943162207</v>
      </c>
      <c r="J245" s="24">
        <f t="shared" si="27"/>
        <v>0</v>
      </c>
      <c r="K245" s="51">
        <f>IF(L245=1,0,IF(SUM(K$81:K244)&gt;=Construction_Timeline,0,1))</f>
        <v>0</v>
      </c>
      <c r="L245" s="13">
        <f t="shared" si="29"/>
        <v>0</v>
      </c>
      <c r="M245" s="54">
        <f t="shared" si="25"/>
        <v>51167</v>
      </c>
      <c r="N245" s="7"/>
      <c r="O245" s="12"/>
      <c r="P245" s="98"/>
      <c r="Q245" s="98"/>
      <c r="R245" s="98"/>
      <c r="S245" s="98"/>
      <c r="T245" s="3"/>
      <c r="U245" s="98"/>
      <c r="V245" s="98"/>
      <c r="W245" s="98"/>
      <c r="X245" s="98"/>
    </row>
    <row r="246" spans="2:24">
      <c r="B246" s="7"/>
      <c r="C246" s="7">
        <v>170</v>
      </c>
      <c r="D246" s="24">
        <f t="shared" si="28"/>
        <v>0</v>
      </c>
      <c r="E246" s="103">
        <f t="shared" si="24"/>
        <v>0</v>
      </c>
      <c r="F246" s="53">
        <v>0</v>
      </c>
      <c r="G246" s="24">
        <f t="shared" si="26"/>
        <v>0</v>
      </c>
      <c r="H246" s="15">
        <f>IF(G246&gt;0,0,IF(AND(H245=0,SUM(K246:L246)=0),0,IF(D246=0,PPMT(D$65/12,COUNTIF(D$76:D246,0),D$66,Primary_Loan_Amount),0)))</f>
        <v>0</v>
      </c>
      <c r="I246" s="15">
        <f>-SUM(Primary_Loan_Amount)-SUM(H$76:H246)</f>
        <v>-23217621.943162207</v>
      </c>
      <c r="J246" s="24">
        <f t="shared" si="27"/>
        <v>0</v>
      </c>
      <c r="K246" s="51">
        <f>IF(L246=1,0,IF(SUM(K$81:K245)&gt;=Construction_Timeline,0,1))</f>
        <v>0</v>
      </c>
      <c r="L246" s="13">
        <f t="shared" si="29"/>
        <v>0</v>
      </c>
      <c r="M246" s="54">
        <f t="shared" si="25"/>
        <v>51196</v>
      </c>
      <c r="N246" s="7"/>
      <c r="O246" s="12"/>
      <c r="P246" s="98"/>
      <c r="Q246" s="98"/>
      <c r="R246" s="98"/>
      <c r="S246" s="98"/>
      <c r="T246" s="3"/>
      <c r="U246" s="98"/>
      <c r="V246" s="98"/>
      <c r="W246" s="98"/>
      <c r="X246" s="98"/>
    </row>
    <row r="247" spans="2:24">
      <c r="B247" s="7"/>
      <c r="C247" s="7">
        <v>171</v>
      </c>
      <c r="D247" s="24">
        <f t="shared" si="28"/>
        <v>0</v>
      </c>
      <c r="E247" s="103">
        <f t="shared" si="24"/>
        <v>0</v>
      </c>
      <c r="F247" s="53">
        <v>0</v>
      </c>
      <c r="G247" s="24">
        <f t="shared" si="26"/>
        <v>0</v>
      </c>
      <c r="H247" s="15">
        <f>IF(G247&gt;0,0,IF(AND(H246=0,SUM(K247:L247)=0),0,IF(D247=0,PPMT(D$65/12,COUNTIF(D$76:D247,0),D$66,Primary_Loan_Amount),0)))</f>
        <v>0</v>
      </c>
      <c r="I247" s="15">
        <f>-SUM(Primary_Loan_Amount)-SUM(H$76:H247)</f>
        <v>-23217621.943162207</v>
      </c>
      <c r="J247" s="24">
        <f t="shared" si="27"/>
        <v>0</v>
      </c>
      <c r="K247" s="51">
        <f>IF(L247=1,0,IF(SUM(K$81:K246)&gt;=Construction_Timeline,0,1))</f>
        <v>0</v>
      </c>
      <c r="L247" s="13">
        <f t="shared" si="29"/>
        <v>0</v>
      </c>
      <c r="M247" s="54">
        <f t="shared" si="25"/>
        <v>51227</v>
      </c>
      <c r="N247" s="7"/>
      <c r="O247" s="12"/>
      <c r="P247" s="98"/>
      <c r="Q247" s="98"/>
      <c r="R247" s="98"/>
      <c r="S247" s="98"/>
      <c r="T247" s="3"/>
      <c r="U247" s="98"/>
      <c r="V247" s="98"/>
      <c r="W247" s="98"/>
      <c r="X247" s="98"/>
    </row>
    <row r="248" spans="2:24">
      <c r="B248" s="7"/>
      <c r="C248" s="7">
        <v>172</v>
      </c>
      <c r="D248" s="24">
        <f t="shared" si="28"/>
        <v>0</v>
      </c>
      <c r="E248" s="103">
        <f t="shared" si="24"/>
        <v>0</v>
      </c>
      <c r="F248" s="53">
        <v>0</v>
      </c>
      <c r="G248" s="24">
        <f t="shared" si="26"/>
        <v>0</v>
      </c>
      <c r="H248" s="15">
        <f>IF(G248&gt;0,0,IF(AND(H247=0,SUM(K248:L248)=0),0,IF(D248=0,PPMT(D$65/12,COUNTIF(D$76:D248,0),D$66,Primary_Loan_Amount),0)))</f>
        <v>0</v>
      </c>
      <c r="I248" s="15">
        <f>-SUM(Primary_Loan_Amount)-SUM(H$76:H248)</f>
        <v>-23217621.943162207</v>
      </c>
      <c r="J248" s="24">
        <f t="shared" si="27"/>
        <v>0</v>
      </c>
      <c r="K248" s="51">
        <f>IF(L248=1,0,IF(SUM(K$81:K247)&gt;=Construction_Timeline,0,1))</f>
        <v>0</v>
      </c>
      <c r="L248" s="13">
        <f t="shared" si="29"/>
        <v>0</v>
      </c>
      <c r="M248" s="54">
        <f t="shared" si="25"/>
        <v>51257</v>
      </c>
      <c r="N248" s="7"/>
      <c r="O248" s="12"/>
      <c r="P248" s="98"/>
      <c r="Q248" s="98"/>
      <c r="R248" s="98"/>
      <c r="S248" s="98"/>
      <c r="T248" s="3"/>
      <c r="U248" s="98"/>
      <c r="V248" s="98"/>
      <c r="W248" s="98"/>
      <c r="X248" s="98"/>
    </row>
    <row r="249" spans="2:24">
      <c r="B249" s="7"/>
      <c r="C249" s="7">
        <v>173</v>
      </c>
      <c r="D249" s="24">
        <f t="shared" si="28"/>
        <v>0</v>
      </c>
      <c r="E249" s="103">
        <f t="shared" si="24"/>
        <v>0</v>
      </c>
      <c r="F249" s="53">
        <v>0</v>
      </c>
      <c r="G249" s="24">
        <f t="shared" si="26"/>
        <v>0</v>
      </c>
      <c r="H249" s="15">
        <f>IF(G249&gt;0,0,IF(AND(H248=0,SUM(K249:L249)=0),0,IF(D249=0,PPMT(D$65/12,COUNTIF(D$76:D249,0),D$66,Primary_Loan_Amount),0)))</f>
        <v>0</v>
      </c>
      <c r="I249" s="15">
        <f>-SUM(Primary_Loan_Amount)-SUM(H$76:H249)</f>
        <v>-23217621.943162207</v>
      </c>
      <c r="J249" s="24">
        <f t="shared" si="27"/>
        <v>0</v>
      </c>
      <c r="K249" s="51">
        <f>IF(L249=1,0,IF(SUM(K$81:K248)&gt;=Construction_Timeline,0,1))</f>
        <v>0</v>
      </c>
      <c r="L249" s="13">
        <f t="shared" si="29"/>
        <v>0</v>
      </c>
      <c r="M249" s="54">
        <f t="shared" si="25"/>
        <v>51288</v>
      </c>
      <c r="N249" s="7"/>
      <c r="O249" s="12"/>
      <c r="P249" s="98"/>
      <c r="Q249" s="98"/>
      <c r="R249" s="98"/>
      <c r="S249" s="98"/>
      <c r="T249" s="3"/>
      <c r="U249" s="98"/>
      <c r="V249" s="98"/>
      <c r="W249" s="98"/>
      <c r="X249" s="98"/>
    </row>
    <row r="250" spans="2:24">
      <c r="B250" s="7"/>
      <c r="C250" s="7">
        <v>174</v>
      </c>
      <c r="D250" s="24">
        <f t="shared" si="28"/>
        <v>0</v>
      </c>
      <c r="E250" s="103">
        <f t="shared" si="24"/>
        <v>0</v>
      </c>
      <c r="F250" s="53">
        <v>0</v>
      </c>
      <c r="G250" s="24">
        <f t="shared" si="26"/>
        <v>0</v>
      </c>
      <c r="H250" s="15">
        <f>IF(G250&gt;0,0,IF(AND(H249=0,SUM(K250:L250)=0),0,IF(D250=0,PPMT(D$65/12,COUNTIF(D$76:D250,0),D$66,Primary_Loan_Amount),0)))</f>
        <v>0</v>
      </c>
      <c r="I250" s="15">
        <f>-SUM(Primary_Loan_Amount)-SUM(H$76:H250)</f>
        <v>-23217621.943162207</v>
      </c>
      <c r="J250" s="24">
        <f t="shared" si="27"/>
        <v>0</v>
      </c>
      <c r="K250" s="51">
        <f>IF(L250=1,0,IF(SUM(K$81:K249)&gt;=Construction_Timeline,0,1))</f>
        <v>0</v>
      </c>
      <c r="L250" s="13">
        <f t="shared" si="29"/>
        <v>0</v>
      </c>
      <c r="M250" s="54">
        <f t="shared" si="25"/>
        <v>51318</v>
      </c>
      <c r="N250" s="7"/>
      <c r="O250" s="12"/>
      <c r="P250" s="98"/>
      <c r="Q250" s="98"/>
      <c r="R250" s="98"/>
      <c r="S250" s="98"/>
      <c r="T250" s="3"/>
      <c r="U250" s="98"/>
      <c r="V250" s="98"/>
      <c r="W250" s="98"/>
      <c r="X250" s="98"/>
    </row>
    <row r="251" spans="2:24">
      <c r="B251" s="7"/>
      <c r="C251" s="7">
        <v>175</v>
      </c>
      <c r="D251" s="24">
        <f t="shared" si="28"/>
        <v>0</v>
      </c>
      <c r="E251" s="103">
        <f t="shared" si="24"/>
        <v>0</v>
      </c>
      <c r="F251" s="53">
        <v>0</v>
      </c>
      <c r="G251" s="24">
        <f t="shared" si="26"/>
        <v>0</v>
      </c>
      <c r="H251" s="15">
        <f>IF(G251&gt;0,0,IF(AND(H250=0,SUM(K251:L251)=0),0,IF(D251=0,PPMT(D$65/12,COUNTIF(D$76:D251,0),D$66,Primary_Loan_Amount),0)))</f>
        <v>0</v>
      </c>
      <c r="I251" s="15">
        <f>-SUM(Primary_Loan_Amount)-SUM(H$76:H251)</f>
        <v>-23217621.943162207</v>
      </c>
      <c r="J251" s="24">
        <f t="shared" si="27"/>
        <v>0</v>
      </c>
      <c r="K251" s="51">
        <f>IF(L251=1,0,IF(SUM(K$81:K250)&gt;=Construction_Timeline,0,1))</f>
        <v>0</v>
      </c>
      <c r="L251" s="13">
        <f t="shared" si="29"/>
        <v>0</v>
      </c>
      <c r="M251" s="54">
        <f t="shared" si="25"/>
        <v>51349</v>
      </c>
      <c r="N251" s="7"/>
      <c r="O251" s="12"/>
      <c r="P251" s="98"/>
      <c r="Q251" s="98"/>
      <c r="R251" s="98"/>
      <c r="S251" s="98"/>
      <c r="T251" s="3"/>
      <c r="U251" s="98"/>
      <c r="V251" s="98"/>
      <c r="W251" s="98"/>
      <c r="X251" s="98"/>
    </row>
    <row r="252" spans="2:24">
      <c r="B252" s="7"/>
      <c r="C252" s="7">
        <v>176</v>
      </c>
      <c r="D252" s="24">
        <f t="shared" si="28"/>
        <v>0</v>
      </c>
      <c r="E252" s="103">
        <f t="shared" si="24"/>
        <v>0</v>
      </c>
      <c r="F252" s="53">
        <v>0</v>
      </c>
      <c r="G252" s="24">
        <f t="shared" si="26"/>
        <v>0</v>
      </c>
      <c r="H252" s="15">
        <f>IF(G252&gt;0,0,IF(AND(H251=0,SUM(K252:L252)=0),0,IF(D252=0,PPMT(D$65/12,COUNTIF(D$76:D252,0),D$66,Primary_Loan_Amount),0)))</f>
        <v>0</v>
      </c>
      <c r="I252" s="15">
        <f>-SUM(Primary_Loan_Amount)-SUM(H$76:H252)</f>
        <v>-23217621.943162207</v>
      </c>
      <c r="J252" s="24">
        <f t="shared" si="27"/>
        <v>0</v>
      </c>
      <c r="K252" s="51">
        <f>IF(L252=1,0,IF(SUM(K$81:K251)&gt;=Construction_Timeline,0,1))</f>
        <v>0</v>
      </c>
      <c r="L252" s="13">
        <f t="shared" si="29"/>
        <v>0</v>
      </c>
      <c r="M252" s="54">
        <f t="shared" si="25"/>
        <v>51380</v>
      </c>
      <c r="N252" s="7"/>
      <c r="O252" s="12"/>
      <c r="P252" s="98"/>
      <c r="Q252" s="98"/>
      <c r="R252" s="98"/>
      <c r="S252" s="98"/>
      <c r="T252" s="3"/>
      <c r="U252" s="98"/>
      <c r="V252" s="98"/>
      <c r="W252" s="98"/>
      <c r="X252" s="98"/>
    </row>
    <row r="253" spans="2:24">
      <c r="B253" s="7"/>
      <c r="C253" s="7">
        <v>177</v>
      </c>
      <c r="D253" s="24">
        <f t="shared" si="28"/>
        <v>0</v>
      </c>
      <c r="E253" s="103">
        <f t="shared" si="24"/>
        <v>0</v>
      </c>
      <c r="F253" s="53">
        <v>0</v>
      </c>
      <c r="G253" s="24">
        <f t="shared" si="26"/>
        <v>0</v>
      </c>
      <c r="H253" s="15">
        <f>IF(G253&gt;0,0,IF(AND(H252=0,SUM(K253:L253)=0),0,IF(D253=0,PPMT(D$65/12,COUNTIF(D$76:D253,0),D$66,Primary_Loan_Amount),0)))</f>
        <v>0</v>
      </c>
      <c r="I253" s="15">
        <f>-SUM(Primary_Loan_Amount)-SUM(H$76:H253)</f>
        <v>-23217621.943162207</v>
      </c>
      <c r="J253" s="24">
        <f t="shared" si="27"/>
        <v>0</v>
      </c>
      <c r="K253" s="51">
        <f>IF(L253=1,0,IF(SUM(K$81:K252)&gt;=Construction_Timeline,0,1))</f>
        <v>0</v>
      </c>
      <c r="L253" s="13">
        <f t="shared" si="29"/>
        <v>0</v>
      </c>
      <c r="M253" s="54">
        <f t="shared" si="25"/>
        <v>51410</v>
      </c>
      <c r="N253" s="7"/>
      <c r="O253" s="12"/>
      <c r="P253" s="98"/>
      <c r="Q253" s="98"/>
      <c r="R253" s="98"/>
      <c r="S253" s="98"/>
      <c r="T253" s="3"/>
      <c r="U253" s="98"/>
      <c r="V253" s="98"/>
      <c r="W253" s="98"/>
      <c r="X253" s="98"/>
    </row>
    <row r="254" spans="2:24">
      <c r="B254" s="7"/>
      <c r="C254" s="7">
        <v>178</v>
      </c>
      <c r="D254" s="24">
        <f t="shared" si="28"/>
        <v>0</v>
      </c>
      <c r="E254" s="103">
        <f t="shared" si="24"/>
        <v>0</v>
      </c>
      <c r="F254" s="53">
        <v>0</v>
      </c>
      <c r="G254" s="24">
        <f t="shared" si="26"/>
        <v>0</v>
      </c>
      <c r="H254" s="15">
        <f>IF(G254&gt;0,0,IF(AND(H253=0,SUM(K254:L254)=0),0,IF(D254=0,PPMT(D$65/12,COUNTIF(D$76:D254,0),D$66,Primary_Loan_Amount),0)))</f>
        <v>0</v>
      </c>
      <c r="I254" s="15">
        <f>-SUM(Primary_Loan_Amount)-SUM(H$76:H254)</f>
        <v>-23217621.943162207</v>
      </c>
      <c r="J254" s="24">
        <f t="shared" si="27"/>
        <v>0</v>
      </c>
      <c r="K254" s="51">
        <f>IF(L254=1,0,IF(SUM(K$81:K253)&gt;=Construction_Timeline,0,1))</f>
        <v>0</v>
      </c>
      <c r="L254" s="13">
        <f t="shared" si="29"/>
        <v>0</v>
      </c>
      <c r="M254" s="54">
        <f t="shared" si="25"/>
        <v>51441</v>
      </c>
      <c r="N254" s="7"/>
      <c r="O254" s="12"/>
      <c r="P254" s="98"/>
      <c r="Q254" s="98"/>
      <c r="R254" s="98"/>
      <c r="S254" s="98"/>
      <c r="T254" s="3"/>
      <c r="U254" s="98"/>
      <c r="V254" s="98"/>
      <c r="W254" s="98"/>
      <c r="X254" s="98"/>
    </row>
    <row r="255" spans="2:24">
      <c r="B255" s="7"/>
      <c r="C255" s="7">
        <v>179</v>
      </c>
      <c r="D255" s="24">
        <f t="shared" si="28"/>
        <v>0</v>
      </c>
      <c r="E255" s="103">
        <f t="shared" si="24"/>
        <v>0</v>
      </c>
      <c r="F255" s="53">
        <v>0</v>
      </c>
      <c r="G255" s="24">
        <f t="shared" si="26"/>
        <v>0</v>
      </c>
      <c r="H255" s="15">
        <f>IF(G255&gt;0,0,IF(AND(H254=0,SUM(K255:L255)=0),0,IF(D255=0,PPMT(D$65/12,COUNTIF(D$76:D255,0),D$66,Primary_Loan_Amount),0)))</f>
        <v>0</v>
      </c>
      <c r="I255" s="15">
        <f>-SUM(Primary_Loan_Amount)-SUM(H$76:H255)</f>
        <v>-23217621.943162207</v>
      </c>
      <c r="J255" s="24">
        <f t="shared" si="27"/>
        <v>0</v>
      </c>
      <c r="K255" s="51">
        <f>IF(L255=1,0,IF(SUM(K$81:K254)&gt;=Construction_Timeline,0,1))</f>
        <v>0</v>
      </c>
      <c r="L255" s="13">
        <f t="shared" si="29"/>
        <v>0</v>
      </c>
      <c r="M255" s="54">
        <f t="shared" si="25"/>
        <v>51471</v>
      </c>
      <c r="N255" s="7"/>
      <c r="O255" s="12"/>
      <c r="P255" s="98"/>
      <c r="Q255" s="98"/>
      <c r="R255" s="98"/>
      <c r="S255" s="98"/>
      <c r="T255" s="3"/>
      <c r="U255" s="98"/>
      <c r="V255" s="98"/>
      <c r="W255" s="98"/>
      <c r="X255" s="98"/>
    </row>
    <row r="256" spans="2:24">
      <c r="B256" s="7"/>
      <c r="C256" s="7">
        <v>180</v>
      </c>
      <c r="D256" s="24">
        <f>IF(E255&gt;=D255,E255,IF(L256=1,-Monthly_soft_cost_per_unit*Total_Units,IF(K256=1,-D$52/Construction_Timeline,0)))</f>
        <v>0</v>
      </c>
      <c r="E256" s="103">
        <f t="shared" si="24"/>
        <v>0</v>
      </c>
      <c r="F256" s="53">
        <v>0</v>
      </c>
      <c r="G256" s="24">
        <f t="shared" si="26"/>
        <v>0</v>
      </c>
      <c r="H256" s="15">
        <f>IF(G256&gt;0,0,IF(AND(H255=0,SUM(K256:L256)=0),0,IF(D256=0,PPMT(D$65/12,COUNTIF(D$76:D256,0),D$66,Primary_Loan_Amount),0)))</f>
        <v>0</v>
      </c>
      <c r="I256" s="15">
        <f>-SUM(Primary_Loan_Amount)-SUM(H$76:H256)</f>
        <v>-23217621.943162207</v>
      </c>
      <c r="J256" s="24">
        <f t="shared" si="27"/>
        <v>0</v>
      </c>
      <c r="K256" s="51">
        <f>IF(L256=1,0,IF(SUM(K$81:K255)&gt;=Construction_Timeline,0,1))</f>
        <v>0</v>
      </c>
      <c r="L256" s="13">
        <f t="shared" si="29"/>
        <v>0</v>
      </c>
      <c r="M256" s="54">
        <f t="shared" si="25"/>
        <v>51502</v>
      </c>
      <c r="N256" s="7"/>
      <c r="O256" s="12"/>
      <c r="P256" s="98"/>
      <c r="Q256" s="98"/>
      <c r="R256" s="98"/>
      <c r="S256" s="98"/>
      <c r="T256" s="3"/>
      <c r="U256" s="98"/>
      <c r="V256" s="98"/>
      <c r="W256" s="98"/>
      <c r="X256" s="98"/>
    </row>
    <row r="257" spans="1:24">
      <c r="B257" s="7"/>
      <c r="C257" s="7"/>
      <c r="D257" s="7"/>
      <c r="E257" s="7"/>
      <c r="F257" s="7"/>
      <c r="G257" s="7"/>
      <c r="H257" s="7"/>
      <c r="I257" s="7"/>
      <c r="J257" s="7"/>
      <c r="K257" s="7"/>
      <c r="L257" s="7"/>
      <c r="M257" s="73"/>
      <c r="N257" s="7"/>
      <c r="O257" s="12"/>
      <c r="P257" s="3"/>
      <c r="Q257" s="3"/>
      <c r="R257" s="3"/>
      <c r="S257" s="3"/>
      <c r="T257" s="3"/>
      <c r="U257" s="3"/>
      <c r="V257" s="3"/>
    </row>
    <row r="258" spans="1:24" ht="15.6">
      <c r="B258" s="7"/>
      <c r="C258" s="41" t="s">
        <v>127</v>
      </c>
      <c r="D258" s="39"/>
      <c r="E258" s="39"/>
      <c r="F258" s="39"/>
      <c r="G258" s="39"/>
      <c r="H258" s="39"/>
      <c r="I258" s="39"/>
      <c r="J258" s="39"/>
      <c r="K258" s="97" t="s">
        <v>87</v>
      </c>
      <c r="L258" s="7"/>
      <c r="M258" s="7"/>
      <c r="N258" s="7"/>
      <c r="O258" s="12"/>
      <c r="P258" s="3"/>
      <c r="Q258" s="3"/>
      <c r="R258" s="3"/>
      <c r="S258" s="3"/>
      <c r="T258" s="3"/>
      <c r="U258" s="3"/>
      <c r="V258" s="3"/>
    </row>
    <row r="259" spans="1:24">
      <c r="B259" s="7"/>
      <c r="C259" s="7"/>
      <c r="D259" s="101">
        <f>SUM(D261:D441)</f>
        <v>-30000000.000000007</v>
      </c>
      <c r="E259" s="101">
        <f>SUM(E261:E441)</f>
        <v>-5999999.9999999935</v>
      </c>
      <c r="F259" s="13"/>
      <c r="G259" s="101">
        <f>SUM(G261:G441)</f>
        <v>43650000</v>
      </c>
      <c r="H259" s="101">
        <f>SUM(H261:H441)</f>
        <v>0</v>
      </c>
      <c r="I259" s="101">
        <f>-Construction_Costs-H259</f>
        <v>-30000000</v>
      </c>
      <c r="J259" s="101">
        <f>SUM(J261:J441)</f>
        <v>7650000</v>
      </c>
      <c r="K259" s="13"/>
      <c r="L259" s="7"/>
      <c r="M259" s="73"/>
      <c r="N259" s="7"/>
      <c r="O259" s="12"/>
      <c r="P259" s="3"/>
      <c r="Q259" s="3"/>
      <c r="R259" s="3"/>
      <c r="S259" s="3"/>
      <c r="T259" s="3"/>
      <c r="U259" s="3"/>
      <c r="V259" s="3"/>
    </row>
    <row r="260" spans="1:24">
      <c r="B260" s="7"/>
      <c r="C260" s="7" t="s">
        <v>32</v>
      </c>
      <c r="D260" s="13" t="s">
        <v>33</v>
      </c>
      <c r="E260" s="13" t="s">
        <v>34</v>
      </c>
      <c r="F260" s="9" t="s">
        <v>39</v>
      </c>
      <c r="G260" s="7" t="s">
        <v>21</v>
      </c>
      <c r="H260" s="7" t="s">
        <v>75</v>
      </c>
      <c r="I260" s="7"/>
      <c r="J260" s="7" t="s">
        <v>22</v>
      </c>
      <c r="K260" s="13" t="s">
        <v>35</v>
      </c>
      <c r="L260" s="13" t="s">
        <v>36</v>
      </c>
      <c r="M260" s="73"/>
      <c r="N260" s="7"/>
      <c r="O260" s="12"/>
      <c r="P260" s="3"/>
      <c r="Q260" s="3"/>
      <c r="R260" s="3"/>
      <c r="S260" s="3"/>
      <c r="T260" s="3"/>
      <c r="U260" s="3"/>
      <c r="V260" s="3"/>
    </row>
    <row r="261" spans="1:24">
      <c r="B261" s="7"/>
      <c r="C261" s="7">
        <v>0</v>
      </c>
      <c r="D261" s="24">
        <f t="shared" ref="D261:D292" si="30">IF(K261=1,-Construction_Costs/Construction_Timeline,0)</f>
        <v>0</v>
      </c>
      <c r="E261" s="103">
        <f>-Land_Costs</f>
        <v>-4000000</v>
      </c>
      <c r="F261" s="53"/>
      <c r="G261" s="24">
        <f t="shared" ref="G261:G292" si="31">IF(C261=SUM(Month_of_Sale,PreDev_Timeline,Construction_Timeline),Sale_Price*(1-D$64),0)</f>
        <v>0</v>
      </c>
      <c r="H261" s="15"/>
      <c r="I261" s="15"/>
      <c r="J261" s="24">
        <f t="shared" ref="J261:J292" si="32">SUM(D261:G261)</f>
        <v>-4000000</v>
      </c>
      <c r="K261" s="51">
        <v>0</v>
      </c>
      <c r="L261" s="13">
        <v>0</v>
      </c>
      <c r="M261" s="72">
        <v>46023</v>
      </c>
      <c r="N261" s="7"/>
      <c r="O261" s="12"/>
    </row>
    <row r="262" spans="1:24" customFormat="1">
      <c r="A262" s="3"/>
      <c r="B262" s="7"/>
      <c r="C262" s="7">
        <v>1</v>
      </c>
      <c r="D262" s="24">
        <f t="shared" si="30"/>
        <v>0</v>
      </c>
      <c r="E262" s="103">
        <f t="shared" ref="E262:E293" si="33">-Pre_Development_Costs/PreDev_Timeline*L262</f>
        <v>-83333.333333333328</v>
      </c>
      <c r="F262" s="53"/>
      <c r="G262" s="24">
        <f t="shared" si="31"/>
        <v>0</v>
      </c>
      <c r="H262" s="15"/>
      <c r="I262" s="15"/>
      <c r="J262" s="24">
        <f t="shared" si="32"/>
        <v>-83333.333333333328</v>
      </c>
      <c r="K262" s="51">
        <f>IF(L262=1,0,IF(SUM(K261:K$266)&gt;=Construction_Timeline,0,1))</f>
        <v>0</v>
      </c>
      <c r="L262" s="13">
        <f t="shared" ref="L262:L293" si="34">IF(C262&lt;=PreDev_Timeline,1,0)</f>
        <v>1</v>
      </c>
      <c r="M262" s="54">
        <f>EDATE(M261,1)</f>
        <v>46054</v>
      </c>
      <c r="N262" s="7"/>
      <c r="O262" s="12"/>
      <c r="Q262" s="65"/>
      <c r="W262" s="3"/>
      <c r="X262" s="3"/>
    </row>
    <row r="263" spans="1:24" customFormat="1">
      <c r="A263" s="3"/>
      <c r="B263" s="7"/>
      <c r="C263" s="7">
        <v>2</v>
      </c>
      <c r="D263" s="24">
        <f t="shared" si="30"/>
        <v>0</v>
      </c>
      <c r="E263" s="103">
        <f t="shared" si="33"/>
        <v>-83333.333333333328</v>
      </c>
      <c r="F263" s="53"/>
      <c r="G263" s="24">
        <f t="shared" si="31"/>
        <v>0</v>
      </c>
      <c r="H263" s="15"/>
      <c r="I263" s="15"/>
      <c r="J263" s="24">
        <f t="shared" si="32"/>
        <v>-83333.333333333328</v>
      </c>
      <c r="K263" s="51">
        <f>IF(L263=1,0,IF(SUM(K262:K$266)&gt;=Construction_Timeline,0,1))</f>
        <v>0</v>
      </c>
      <c r="L263" s="13">
        <f t="shared" si="34"/>
        <v>1</v>
      </c>
      <c r="M263" s="54">
        <f t="shared" ref="M263:M326" si="35">EDATE(M262,1)</f>
        <v>46082</v>
      </c>
      <c r="N263" s="7"/>
      <c r="O263" s="12"/>
      <c r="Q263" s="65"/>
      <c r="W263" s="3"/>
      <c r="X263" s="3"/>
    </row>
    <row r="264" spans="1:24" customFormat="1">
      <c r="A264" s="3"/>
      <c r="B264" s="7"/>
      <c r="C264" s="7">
        <v>3</v>
      </c>
      <c r="D264" s="24">
        <f t="shared" si="30"/>
        <v>0</v>
      </c>
      <c r="E264" s="103">
        <f t="shared" si="33"/>
        <v>-83333.333333333328</v>
      </c>
      <c r="F264" s="53"/>
      <c r="G264" s="24">
        <f t="shared" si="31"/>
        <v>0</v>
      </c>
      <c r="H264" s="15"/>
      <c r="I264" s="15"/>
      <c r="J264" s="24">
        <f t="shared" si="32"/>
        <v>-83333.333333333328</v>
      </c>
      <c r="K264" s="51">
        <f>IF(L264=1,0,IF(SUM(K263:K$266)&gt;=Construction_Timeline,0,1))</f>
        <v>0</v>
      </c>
      <c r="L264" s="13">
        <f t="shared" si="34"/>
        <v>1</v>
      </c>
      <c r="M264" s="54">
        <f t="shared" si="35"/>
        <v>46113</v>
      </c>
      <c r="N264" s="7"/>
      <c r="O264" s="12"/>
      <c r="Q264" s="65"/>
      <c r="W264" s="3"/>
      <c r="X264" s="3"/>
    </row>
    <row r="265" spans="1:24" customFormat="1">
      <c r="A265" s="3"/>
      <c r="B265" s="7"/>
      <c r="C265" s="7">
        <v>4</v>
      </c>
      <c r="D265" s="24">
        <f t="shared" si="30"/>
        <v>0</v>
      </c>
      <c r="E265" s="103">
        <f t="shared" si="33"/>
        <v>-83333.333333333328</v>
      </c>
      <c r="F265" s="53"/>
      <c r="G265" s="24">
        <f t="shared" si="31"/>
        <v>0</v>
      </c>
      <c r="H265" s="15"/>
      <c r="I265" s="15"/>
      <c r="J265" s="24">
        <f t="shared" si="32"/>
        <v>-83333.333333333328</v>
      </c>
      <c r="K265" s="51">
        <f>IF(L265=1,0,IF(SUM(K264:K$266)&gt;=Construction_Timeline,0,1))</f>
        <v>0</v>
      </c>
      <c r="L265" s="13">
        <f t="shared" si="34"/>
        <v>1</v>
      </c>
      <c r="M265" s="54">
        <f t="shared" si="35"/>
        <v>46143</v>
      </c>
      <c r="N265" s="7"/>
      <c r="O265" s="12"/>
      <c r="Q265" s="65"/>
      <c r="W265" s="3"/>
      <c r="X265" s="3"/>
    </row>
    <row r="266" spans="1:24" customFormat="1">
      <c r="A266" s="3"/>
      <c r="B266" s="7"/>
      <c r="C266" s="7">
        <v>5</v>
      </c>
      <c r="D266" s="24">
        <f t="shared" si="30"/>
        <v>0</v>
      </c>
      <c r="E266" s="103">
        <f t="shared" si="33"/>
        <v>-83333.333333333328</v>
      </c>
      <c r="F266" s="53"/>
      <c r="G266" s="24">
        <f t="shared" si="31"/>
        <v>0</v>
      </c>
      <c r="H266" s="15"/>
      <c r="I266" s="15"/>
      <c r="J266" s="24">
        <f t="shared" si="32"/>
        <v>-83333.333333333328</v>
      </c>
      <c r="K266" s="51">
        <f>IF(L266=1,0,IF(SUM(K265:K$266)&gt;=Construction_Timeline,0,1))</f>
        <v>0</v>
      </c>
      <c r="L266" s="13">
        <f t="shared" si="34"/>
        <v>1</v>
      </c>
      <c r="M266" s="54">
        <f t="shared" si="35"/>
        <v>46174</v>
      </c>
      <c r="N266" s="7"/>
      <c r="O266" s="12"/>
      <c r="Q266" s="65"/>
      <c r="W266" s="3"/>
      <c r="X266" s="3"/>
    </row>
    <row r="267" spans="1:24" customFormat="1">
      <c r="A267" s="3"/>
      <c r="B267" s="7"/>
      <c r="C267" s="7">
        <v>6</v>
      </c>
      <c r="D267" s="24">
        <f t="shared" si="30"/>
        <v>0</v>
      </c>
      <c r="E267" s="103">
        <f t="shared" si="33"/>
        <v>-83333.333333333328</v>
      </c>
      <c r="F267" s="53"/>
      <c r="G267" s="24">
        <f t="shared" si="31"/>
        <v>0</v>
      </c>
      <c r="H267" s="15"/>
      <c r="I267" s="15"/>
      <c r="J267" s="24">
        <f t="shared" si="32"/>
        <v>-83333.333333333328</v>
      </c>
      <c r="K267" s="51">
        <f>IF(L267=1,0,IF(SUM(K$266:K266)&gt;=Construction_Timeline,0,1))</f>
        <v>0</v>
      </c>
      <c r="L267" s="13">
        <f t="shared" si="34"/>
        <v>1</v>
      </c>
      <c r="M267" s="54">
        <f t="shared" si="35"/>
        <v>46204</v>
      </c>
      <c r="N267" s="7"/>
      <c r="O267" s="12"/>
      <c r="Q267" s="65"/>
      <c r="W267" s="3"/>
      <c r="X267" s="3"/>
    </row>
    <row r="268" spans="1:24" customFormat="1">
      <c r="A268" s="3"/>
      <c r="B268" s="7"/>
      <c r="C268" s="7">
        <v>7</v>
      </c>
      <c r="D268" s="24">
        <f t="shared" si="30"/>
        <v>0</v>
      </c>
      <c r="E268" s="103">
        <f t="shared" si="33"/>
        <v>-83333.333333333328</v>
      </c>
      <c r="F268" s="53"/>
      <c r="G268" s="24">
        <f t="shared" si="31"/>
        <v>0</v>
      </c>
      <c r="H268" s="15"/>
      <c r="I268" s="15"/>
      <c r="J268" s="24">
        <f t="shared" si="32"/>
        <v>-83333.333333333328</v>
      </c>
      <c r="K268" s="51">
        <f>IF(L268=1,0,IF(SUM(K$266:K267)&gt;=Construction_Timeline,0,1))</f>
        <v>0</v>
      </c>
      <c r="L268" s="13">
        <f t="shared" si="34"/>
        <v>1</v>
      </c>
      <c r="M268" s="54">
        <f t="shared" si="35"/>
        <v>46235</v>
      </c>
      <c r="N268" s="7"/>
      <c r="O268" s="12"/>
      <c r="Q268" s="65"/>
      <c r="W268" s="3"/>
      <c r="X268" s="3"/>
    </row>
    <row r="269" spans="1:24" customFormat="1">
      <c r="A269" s="3"/>
      <c r="B269" s="7"/>
      <c r="C269" s="7">
        <v>8</v>
      </c>
      <c r="D269" s="24">
        <f t="shared" si="30"/>
        <v>0</v>
      </c>
      <c r="E269" s="103">
        <f t="shared" si="33"/>
        <v>-83333.333333333328</v>
      </c>
      <c r="F269" s="53"/>
      <c r="G269" s="24">
        <f t="shared" si="31"/>
        <v>0</v>
      </c>
      <c r="H269" s="15"/>
      <c r="I269" s="15"/>
      <c r="J269" s="24">
        <f t="shared" si="32"/>
        <v>-83333.333333333328</v>
      </c>
      <c r="K269" s="51">
        <f>IF(L269=1,0,IF(SUM(K$266:K268)&gt;=Construction_Timeline,0,1))</f>
        <v>0</v>
      </c>
      <c r="L269" s="13">
        <f t="shared" si="34"/>
        <v>1</v>
      </c>
      <c r="M269" s="54">
        <f t="shared" si="35"/>
        <v>46266</v>
      </c>
      <c r="N269" s="7"/>
      <c r="O269" s="12"/>
      <c r="Q269" s="65"/>
      <c r="W269" s="3"/>
      <c r="X269" s="3"/>
    </row>
    <row r="270" spans="1:24" customFormat="1">
      <c r="A270" s="3"/>
      <c r="B270" s="7"/>
      <c r="C270" s="7">
        <v>9</v>
      </c>
      <c r="D270" s="24">
        <f t="shared" si="30"/>
        <v>0</v>
      </c>
      <c r="E270" s="103">
        <f t="shared" si="33"/>
        <v>-83333.333333333328</v>
      </c>
      <c r="F270" s="53"/>
      <c r="G270" s="24">
        <f t="shared" si="31"/>
        <v>0</v>
      </c>
      <c r="H270" s="15"/>
      <c r="I270" s="15"/>
      <c r="J270" s="24">
        <f t="shared" si="32"/>
        <v>-83333.333333333328</v>
      </c>
      <c r="K270" s="51">
        <f>IF(L270=1,0,IF(SUM(K$266:K269)&gt;=Construction_Timeline,0,1))</f>
        <v>0</v>
      </c>
      <c r="L270" s="13">
        <f t="shared" si="34"/>
        <v>1</v>
      </c>
      <c r="M270" s="54">
        <f t="shared" si="35"/>
        <v>46296</v>
      </c>
      <c r="N270" s="7"/>
      <c r="O270" s="12"/>
      <c r="Q270" s="65"/>
      <c r="W270" s="3"/>
      <c r="X270" s="3"/>
    </row>
    <row r="271" spans="1:24" customFormat="1">
      <c r="A271" s="3"/>
      <c r="B271" s="7"/>
      <c r="C271" s="7">
        <v>10</v>
      </c>
      <c r="D271" s="24">
        <f t="shared" si="30"/>
        <v>0</v>
      </c>
      <c r="E271" s="103">
        <f t="shared" si="33"/>
        <v>-83333.333333333328</v>
      </c>
      <c r="F271" s="53"/>
      <c r="G271" s="24">
        <f t="shared" si="31"/>
        <v>0</v>
      </c>
      <c r="H271" s="15"/>
      <c r="I271" s="15"/>
      <c r="J271" s="24">
        <f t="shared" si="32"/>
        <v>-83333.333333333328</v>
      </c>
      <c r="K271" s="51">
        <f>IF(L271=1,0,IF(SUM(K$266:K270)&gt;=Construction_Timeline,0,1))</f>
        <v>0</v>
      </c>
      <c r="L271" s="13">
        <f t="shared" si="34"/>
        <v>1</v>
      </c>
      <c r="M271" s="54">
        <f t="shared" si="35"/>
        <v>46327</v>
      </c>
      <c r="N271" s="7"/>
      <c r="O271" s="12"/>
      <c r="Q271" s="65"/>
      <c r="W271" s="3"/>
      <c r="X271" s="3"/>
    </row>
    <row r="272" spans="1:24" customFormat="1">
      <c r="A272" s="3"/>
      <c r="B272" s="7"/>
      <c r="C272" s="7">
        <v>11</v>
      </c>
      <c r="D272" s="24">
        <f t="shared" si="30"/>
        <v>0</v>
      </c>
      <c r="E272" s="103">
        <f t="shared" si="33"/>
        <v>-83333.333333333328</v>
      </c>
      <c r="F272" s="53"/>
      <c r="G272" s="24">
        <f t="shared" si="31"/>
        <v>0</v>
      </c>
      <c r="H272" s="15"/>
      <c r="I272" s="15"/>
      <c r="J272" s="24">
        <f t="shared" si="32"/>
        <v>-83333.333333333328</v>
      </c>
      <c r="K272" s="51">
        <f>IF(L272=1,0,IF(SUM(K$266:K271)&gt;=Construction_Timeline,0,1))</f>
        <v>0</v>
      </c>
      <c r="L272" s="13">
        <f t="shared" si="34"/>
        <v>1</v>
      </c>
      <c r="M272" s="54">
        <f t="shared" si="35"/>
        <v>46357</v>
      </c>
      <c r="N272" s="7"/>
      <c r="O272" s="12"/>
      <c r="Q272" s="65"/>
      <c r="W272" s="3"/>
      <c r="X272" s="3"/>
    </row>
    <row r="273" spans="1:24" customFormat="1">
      <c r="A273" s="3"/>
      <c r="B273" s="7"/>
      <c r="C273" s="7">
        <v>12</v>
      </c>
      <c r="D273" s="24">
        <f t="shared" si="30"/>
        <v>0</v>
      </c>
      <c r="E273" s="103">
        <f t="shared" si="33"/>
        <v>-83333.333333333328</v>
      </c>
      <c r="F273" s="53"/>
      <c r="G273" s="24">
        <f t="shared" si="31"/>
        <v>0</v>
      </c>
      <c r="H273" s="15"/>
      <c r="I273" s="15"/>
      <c r="J273" s="24">
        <f t="shared" si="32"/>
        <v>-83333.333333333328</v>
      </c>
      <c r="K273" s="51">
        <f>IF(L273=1,0,IF(SUM(K$266:K272)&gt;=Construction_Timeline,0,1))</f>
        <v>0</v>
      </c>
      <c r="L273" s="13">
        <f t="shared" si="34"/>
        <v>1</v>
      </c>
      <c r="M273" s="54">
        <f t="shared" si="35"/>
        <v>46388</v>
      </c>
      <c r="N273" s="7"/>
      <c r="O273" s="12"/>
      <c r="Q273" s="65"/>
      <c r="W273" s="3"/>
      <c r="X273" s="3"/>
    </row>
    <row r="274" spans="1:24" customFormat="1">
      <c r="A274" s="3"/>
      <c r="B274" s="7"/>
      <c r="C274" s="7">
        <v>13</v>
      </c>
      <c r="D274" s="24">
        <f t="shared" si="30"/>
        <v>0</v>
      </c>
      <c r="E274" s="103">
        <f t="shared" si="33"/>
        <v>-83333.333333333328</v>
      </c>
      <c r="F274" s="53"/>
      <c r="G274" s="24">
        <f t="shared" si="31"/>
        <v>0</v>
      </c>
      <c r="H274" s="15"/>
      <c r="I274" s="15"/>
      <c r="J274" s="24">
        <f t="shared" si="32"/>
        <v>-83333.333333333328</v>
      </c>
      <c r="K274" s="51">
        <f>IF(L274=1,0,IF(SUM(K$266:K273)&gt;=Construction_Timeline,0,1))</f>
        <v>0</v>
      </c>
      <c r="L274" s="13">
        <f t="shared" si="34"/>
        <v>1</v>
      </c>
      <c r="M274" s="54">
        <f t="shared" si="35"/>
        <v>46419</v>
      </c>
      <c r="N274" s="7"/>
      <c r="O274" s="12"/>
      <c r="Q274" s="65"/>
      <c r="W274" s="3"/>
      <c r="X274" s="3"/>
    </row>
    <row r="275" spans="1:24" customFormat="1">
      <c r="A275" s="3"/>
      <c r="B275" s="7"/>
      <c r="C275" s="7">
        <v>14</v>
      </c>
      <c r="D275" s="24">
        <f t="shared" si="30"/>
        <v>0</v>
      </c>
      <c r="E275" s="103">
        <f t="shared" si="33"/>
        <v>-83333.333333333328</v>
      </c>
      <c r="F275" s="53"/>
      <c r="G275" s="24">
        <f t="shared" si="31"/>
        <v>0</v>
      </c>
      <c r="H275" s="15"/>
      <c r="I275" s="15"/>
      <c r="J275" s="24">
        <f t="shared" si="32"/>
        <v>-83333.333333333328</v>
      </c>
      <c r="K275" s="51">
        <f>IF(L275=1,0,IF(SUM(K$266:K274)&gt;=Construction_Timeline,0,1))</f>
        <v>0</v>
      </c>
      <c r="L275" s="13">
        <f t="shared" si="34"/>
        <v>1</v>
      </c>
      <c r="M275" s="54">
        <f t="shared" si="35"/>
        <v>46447</v>
      </c>
      <c r="N275" s="7"/>
      <c r="O275" s="12"/>
      <c r="Q275" s="65"/>
      <c r="W275" s="3"/>
      <c r="X275" s="3"/>
    </row>
    <row r="276" spans="1:24" customFormat="1">
      <c r="A276" s="3"/>
      <c r="B276" s="7"/>
      <c r="C276" s="7">
        <v>15</v>
      </c>
      <c r="D276" s="24">
        <f t="shared" si="30"/>
        <v>0</v>
      </c>
      <c r="E276" s="103">
        <f t="shared" si="33"/>
        <v>-83333.333333333328</v>
      </c>
      <c r="F276" s="53"/>
      <c r="G276" s="24">
        <f t="shared" si="31"/>
        <v>0</v>
      </c>
      <c r="H276" s="15"/>
      <c r="I276" s="15"/>
      <c r="J276" s="24">
        <f t="shared" si="32"/>
        <v>-83333.333333333328</v>
      </c>
      <c r="K276" s="51">
        <f>IF(L276=1,0,IF(SUM(K$266:K275)&gt;=Construction_Timeline,0,1))</f>
        <v>0</v>
      </c>
      <c r="L276" s="13">
        <f t="shared" si="34"/>
        <v>1</v>
      </c>
      <c r="M276" s="54">
        <f t="shared" si="35"/>
        <v>46478</v>
      </c>
      <c r="N276" s="7"/>
      <c r="O276" s="12"/>
      <c r="Q276" s="65"/>
      <c r="W276" s="3"/>
      <c r="X276" s="3"/>
    </row>
    <row r="277" spans="1:24" customFormat="1">
      <c r="A277" s="3"/>
      <c r="B277" s="7"/>
      <c r="C277" s="7">
        <v>16</v>
      </c>
      <c r="D277" s="24">
        <f t="shared" si="30"/>
        <v>0</v>
      </c>
      <c r="E277" s="103">
        <f t="shared" si="33"/>
        <v>-83333.333333333328</v>
      </c>
      <c r="F277" s="53"/>
      <c r="G277" s="24">
        <f t="shared" si="31"/>
        <v>0</v>
      </c>
      <c r="H277" s="15"/>
      <c r="I277" s="15"/>
      <c r="J277" s="24">
        <f t="shared" si="32"/>
        <v>-83333.333333333328</v>
      </c>
      <c r="K277" s="51">
        <f>IF(L277=1,0,IF(SUM(K$266:K276)&gt;=Construction_Timeline,0,1))</f>
        <v>0</v>
      </c>
      <c r="L277" s="13">
        <f t="shared" si="34"/>
        <v>1</v>
      </c>
      <c r="M277" s="54">
        <f t="shared" si="35"/>
        <v>46508</v>
      </c>
      <c r="N277" s="7"/>
      <c r="O277" s="12"/>
      <c r="Q277" s="65"/>
      <c r="W277" s="3"/>
      <c r="X277" s="3"/>
    </row>
    <row r="278" spans="1:24" customFormat="1">
      <c r="A278" s="3"/>
      <c r="B278" s="7"/>
      <c r="C278" s="7">
        <v>17</v>
      </c>
      <c r="D278" s="24">
        <f t="shared" si="30"/>
        <v>0</v>
      </c>
      <c r="E278" s="103">
        <f t="shared" si="33"/>
        <v>-83333.333333333328</v>
      </c>
      <c r="F278" s="53"/>
      <c r="G278" s="24">
        <f t="shared" si="31"/>
        <v>0</v>
      </c>
      <c r="H278" s="15"/>
      <c r="I278" s="15"/>
      <c r="J278" s="24">
        <f t="shared" si="32"/>
        <v>-83333.333333333328</v>
      </c>
      <c r="K278" s="51">
        <f>IF(L278=1,0,IF(SUM(K$266:K277)&gt;=Construction_Timeline,0,1))</f>
        <v>0</v>
      </c>
      <c r="L278" s="13">
        <f t="shared" si="34"/>
        <v>1</v>
      </c>
      <c r="M278" s="54">
        <f t="shared" si="35"/>
        <v>46539</v>
      </c>
      <c r="N278" s="7"/>
      <c r="O278" s="12"/>
      <c r="Q278" s="65"/>
      <c r="W278" s="3"/>
      <c r="X278" s="3"/>
    </row>
    <row r="279" spans="1:24" customFormat="1">
      <c r="A279" s="3"/>
      <c r="B279" s="7"/>
      <c r="C279" s="7">
        <v>18</v>
      </c>
      <c r="D279" s="24">
        <f t="shared" si="30"/>
        <v>0</v>
      </c>
      <c r="E279" s="103">
        <f t="shared" si="33"/>
        <v>-83333.333333333328</v>
      </c>
      <c r="F279" s="53"/>
      <c r="G279" s="24">
        <f t="shared" si="31"/>
        <v>0</v>
      </c>
      <c r="H279" s="15"/>
      <c r="I279" s="15"/>
      <c r="J279" s="24">
        <f t="shared" si="32"/>
        <v>-83333.333333333328</v>
      </c>
      <c r="K279" s="51">
        <f>IF(L279=1,0,IF(SUM(K$266:K278)&gt;=Construction_Timeline,0,1))</f>
        <v>0</v>
      </c>
      <c r="L279" s="13">
        <f t="shared" si="34"/>
        <v>1</v>
      </c>
      <c r="M279" s="54">
        <f t="shared" si="35"/>
        <v>46569</v>
      </c>
      <c r="N279" s="7"/>
      <c r="O279" s="12"/>
      <c r="Q279" s="65"/>
      <c r="W279" s="3"/>
      <c r="X279" s="3"/>
    </row>
    <row r="280" spans="1:24" customFormat="1">
      <c r="A280" s="3"/>
      <c r="B280" s="7"/>
      <c r="C280" s="7">
        <v>19</v>
      </c>
      <c r="D280" s="24">
        <f t="shared" si="30"/>
        <v>0</v>
      </c>
      <c r="E280" s="103">
        <f t="shared" si="33"/>
        <v>-83333.333333333328</v>
      </c>
      <c r="F280" s="53"/>
      <c r="G280" s="24">
        <f t="shared" si="31"/>
        <v>0</v>
      </c>
      <c r="H280" s="15"/>
      <c r="I280" s="15"/>
      <c r="J280" s="24">
        <f t="shared" si="32"/>
        <v>-83333.333333333328</v>
      </c>
      <c r="K280" s="51">
        <f>IF(L280=1,0,IF(SUM(K$266:K279)&gt;=Construction_Timeline,0,1))</f>
        <v>0</v>
      </c>
      <c r="L280" s="13">
        <f t="shared" si="34"/>
        <v>1</v>
      </c>
      <c r="M280" s="54">
        <f t="shared" si="35"/>
        <v>46600</v>
      </c>
      <c r="N280" s="7"/>
      <c r="O280" s="12"/>
      <c r="Q280" s="65"/>
      <c r="W280" s="3"/>
      <c r="X280" s="3"/>
    </row>
    <row r="281" spans="1:24" customFormat="1">
      <c r="A281" s="3"/>
      <c r="B281" s="7"/>
      <c r="C281" s="7">
        <v>20</v>
      </c>
      <c r="D281" s="24">
        <f t="shared" si="30"/>
        <v>0</v>
      </c>
      <c r="E281" s="103">
        <f t="shared" si="33"/>
        <v>-83333.333333333328</v>
      </c>
      <c r="F281" s="53"/>
      <c r="G281" s="24">
        <f t="shared" si="31"/>
        <v>0</v>
      </c>
      <c r="H281" s="15"/>
      <c r="I281" s="15"/>
      <c r="J281" s="24">
        <f t="shared" si="32"/>
        <v>-83333.333333333328</v>
      </c>
      <c r="K281" s="51">
        <f>IF(L281=1,0,IF(SUM(K$266:K280)&gt;=Construction_Timeline,0,1))</f>
        <v>0</v>
      </c>
      <c r="L281" s="13">
        <f t="shared" si="34"/>
        <v>1</v>
      </c>
      <c r="M281" s="54">
        <f t="shared" si="35"/>
        <v>46631</v>
      </c>
      <c r="N281" s="7"/>
      <c r="O281" s="12"/>
      <c r="Q281" s="65"/>
      <c r="W281" s="3"/>
      <c r="X281" s="3"/>
    </row>
    <row r="282" spans="1:24" customFormat="1">
      <c r="A282" s="3"/>
      <c r="B282" s="7"/>
      <c r="C282" s="7">
        <v>21</v>
      </c>
      <c r="D282" s="24">
        <f t="shared" si="30"/>
        <v>0</v>
      </c>
      <c r="E282" s="103">
        <f t="shared" si="33"/>
        <v>-83333.333333333328</v>
      </c>
      <c r="F282" s="53"/>
      <c r="G282" s="24">
        <f t="shared" si="31"/>
        <v>0</v>
      </c>
      <c r="H282" s="15"/>
      <c r="I282" s="15"/>
      <c r="J282" s="24">
        <f t="shared" si="32"/>
        <v>-83333.333333333328</v>
      </c>
      <c r="K282" s="51">
        <f>IF(L282=1,0,IF(SUM(K$266:K281)&gt;=Construction_Timeline,0,1))</f>
        <v>0</v>
      </c>
      <c r="L282" s="13">
        <f t="shared" si="34"/>
        <v>1</v>
      </c>
      <c r="M282" s="54">
        <f t="shared" si="35"/>
        <v>46661</v>
      </c>
      <c r="N282" s="7"/>
      <c r="O282" s="12"/>
      <c r="Q282" s="65"/>
      <c r="W282" s="3"/>
      <c r="X282" s="3"/>
    </row>
    <row r="283" spans="1:24" customFormat="1">
      <c r="A283" s="3"/>
      <c r="B283" s="7"/>
      <c r="C283" s="7">
        <v>22</v>
      </c>
      <c r="D283" s="24">
        <f t="shared" si="30"/>
        <v>0</v>
      </c>
      <c r="E283" s="103">
        <f t="shared" si="33"/>
        <v>-83333.333333333328</v>
      </c>
      <c r="F283" s="53"/>
      <c r="G283" s="24">
        <f t="shared" si="31"/>
        <v>0</v>
      </c>
      <c r="H283" s="15"/>
      <c r="I283" s="15"/>
      <c r="J283" s="24">
        <f t="shared" si="32"/>
        <v>-83333.333333333328</v>
      </c>
      <c r="K283" s="51">
        <f>IF(L283=1,0,IF(SUM(K$266:K282)&gt;=Construction_Timeline,0,1))</f>
        <v>0</v>
      </c>
      <c r="L283" s="13">
        <f t="shared" si="34"/>
        <v>1</v>
      </c>
      <c r="M283" s="54">
        <f t="shared" si="35"/>
        <v>46692</v>
      </c>
      <c r="N283" s="7"/>
      <c r="O283" s="12"/>
      <c r="Q283" s="65"/>
      <c r="W283" s="3"/>
      <c r="X283" s="3"/>
    </row>
    <row r="284" spans="1:24" customFormat="1">
      <c r="A284" s="3"/>
      <c r="B284" s="7"/>
      <c r="C284" s="7">
        <v>23</v>
      </c>
      <c r="D284" s="24">
        <f t="shared" si="30"/>
        <v>0</v>
      </c>
      <c r="E284" s="103">
        <f t="shared" si="33"/>
        <v>-83333.333333333328</v>
      </c>
      <c r="F284" s="53"/>
      <c r="G284" s="24">
        <f t="shared" si="31"/>
        <v>0</v>
      </c>
      <c r="H284" s="15"/>
      <c r="I284" s="15"/>
      <c r="J284" s="24">
        <f t="shared" si="32"/>
        <v>-83333.333333333328</v>
      </c>
      <c r="K284" s="51">
        <f>IF(L284=1,0,IF(SUM(K$266:K283)&gt;=Construction_Timeline,0,1))</f>
        <v>0</v>
      </c>
      <c r="L284" s="13">
        <f t="shared" si="34"/>
        <v>1</v>
      </c>
      <c r="M284" s="54">
        <f t="shared" si="35"/>
        <v>46722</v>
      </c>
      <c r="N284" s="7"/>
      <c r="O284" s="12"/>
      <c r="Q284" s="65"/>
      <c r="W284" s="3"/>
      <c r="X284" s="3"/>
    </row>
    <row r="285" spans="1:24" customFormat="1">
      <c r="A285" s="3"/>
      <c r="B285" s="7"/>
      <c r="C285" s="7">
        <v>24</v>
      </c>
      <c r="D285" s="24">
        <f t="shared" si="30"/>
        <v>0</v>
      </c>
      <c r="E285" s="103">
        <f t="shared" si="33"/>
        <v>-83333.333333333328</v>
      </c>
      <c r="F285" s="53"/>
      <c r="G285" s="24">
        <f t="shared" si="31"/>
        <v>0</v>
      </c>
      <c r="H285" s="15"/>
      <c r="I285" s="15"/>
      <c r="J285" s="24">
        <f t="shared" si="32"/>
        <v>-83333.333333333328</v>
      </c>
      <c r="K285" s="51">
        <f>IF(L285=1,0,IF(SUM(K$266:K284)&gt;=Construction_Timeline,0,1))</f>
        <v>0</v>
      </c>
      <c r="L285" s="13">
        <f t="shared" si="34"/>
        <v>1</v>
      </c>
      <c r="M285" s="54">
        <f t="shared" si="35"/>
        <v>46753</v>
      </c>
      <c r="N285" s="7"/>
      <c r="O285" s="12"/>
      <c r="Q285" s="65"/>
      <c r="W285" s="3"/>
      <c r="X285" s="3"/>
    </row>
    <row r="286" spans="1:24" customFormat="1">
      <c r="A286" s="3"/>
      <c r="B286" s="7"/>
      <c r="C286" s="7">
        <v>25</v>
      </c>
      <c r="D286" s="24">
        <f t="shared" si="30"/>
        <v>-1666666.6666666667</v>
      </c>
      <c r="E286" s="103">
        <f t="shared" si="33"/>
        <v>0</v>
      </c>
      <c r="F286" s="53"/>
      <c r="G286" s="24">
        <f t="shared" si="31"/>
        <v>0</v>
      </c>
      <c r="H286" s="15"/>
      <c r="I286" s="15"/>
      <c r="J286" s="24">
        <f t="shared" si="32"/>
        <v>-1666666.6666666667</v>
      </c>
      <c r="K286" s="51">
        <f>IF(L286=1,0,IF(SUM(K$266:K285)&gt;=Construction_Timeline,0,1))</f>
        <v>1</v>
      </c>
      <c r="L286" s="13">
        <f t="shared" si="34"/>
        <v>0</v>
      </c>
      <c r="M286" s="54">
        <f t="shared" si="35"/>
        <v>46784</v>
      </c>
      <c r="N286" s="7"/>
      <c r="O286" s="12"/>
      <c r="Q286" s="65"/>
      <c r="W286" s="3"/>
      <c r="X286" s="3"/>
    </row>
    <row r="287" spans="1:24" customFormat="1">
      <c r="A287" s="3"/>
      <c r="B287" s="7"/>
      <c r="C287" s="7">
        <v>26</v>
      </c>
      <c r="D287" s="24">
        <f t="shared" si="30"/>
        <v>-1666666.6666666667</v>
      </c>
      <c r="E287" s="103">
        <f t="shared" si="33"/>
        <v>0</v>
      </c>
      <c r="F287" s="53"/>
      <c r="G287" s="24">
        <f t="shared" si="31"/>
        <v>0</v>
      </c>
      <c r="H287" s="15"/>
      <c r="I287" s="15"/>
      <c r="J287" s="24">
        <f t="shared" si="32"/>
        <v>-1666666.6666666667</v>
      </c>
      <c r="K287" s="51">
        <f>IF(L287=1,0,IF(SUM(K$266:K286)&gt;=Construction_Timeline,0,1))</f>
        <v>1</v>
      </c>
      <c r="L287" s="13">
        <f t="shared" si="34"/>
        <v>0</v>
      </c>
      <c r="M287" s="54">
        <f t="shared" si="35"/>
        <v>46813</v>
      </c>
      <c r="N287" s="7"/>
      <c r="O287" s="12"/>
      <c r="Q287" s="65"/>
      <c r="W287" s="3"/>
      <c r="X287" s="3"/>
    </row>
    <row r="288" spans="1:24" customFormat="1">
      <c r="A288" s="3"/>
      <c r="B288" s="7"/>
      <c r="C288" s="7">
        <v>27</v>
      </c>
      <c r="D288" s="24">
        <f t="shared" si="30"/>
        <v>-1666666.6666666667</v>
      </c>
      <c r="E288" s="103">
        <f t="shared" si="33"/>
        <v>0</v>
      </c>
      <c r="F288" s="53"/>
      <c r="G288" s="24">
        <f t="shared" si="31"/>
        <v>0</v>
      </c>
      <c r="H288" s="15"/>
      <c r="I288" s="15"/>
      <c r="J288" s="24">
        <f t="shared" si="32"/>
        <v>-1666666.6666666667</v>
      </c>
      <c r="K288" s="51">
        <f>IF(L288=1,0,IF(SUM(K$266:K287)&gt;=Construction_Timeline,0,1))</f>
        <v>1</v>
      </c>
      <c r="L288" s="13">
        <f t="shared" si="34"/>
        <v>0</v>
      </c>
      <c r="M288" s="54">
        <f t="shared" si="35"/>
        <v>46844</v>
      </c>
      <c r="N288" s="7"/>
      <c r="O288" s="12"/>
      <c r="Q288" s="65"/>
      <c r="W288" s="3"/>
      <c r="X288" s="3"/>
    </row>
    <row r="289" spans="1:24" customFormat="1">
      <c r="A289" s="3"/>
      <c r="B289" s="7"/>
      <c r="C289" s="7">
        <v>28</v>
      </c>
      <c r="D289" s="24">
        <f t="shared" si="30"/>
        <v>-1666666.6666666667</v>
      </c>
      <c r="E289" s="103">
        <f t="shared" si="33"/>
        <v>0</v>
      </c>
      <c r="F289" s="53"/>
      <c r="G289" s="24">
        <f t="shared" si="31"/>
        <v>0</v>
      </c>
      <c r="H289" s="15"/>
      <c r="I289" s="15"/>
      <c r="J289" s="24">
        <f t="shared" si="32"/>
        <v>-1666666.6666666667</v>
      </c>
      <c r="K289" s="51">
        <f>IF(L289=1,0,IF(SUM(K$266:K288)&gt;=Construction_Timeline,0,1))</f>
        <v>1</v>
      </c>
      <c r="L289" s="13">
        <f t="shared" si="34"/>
        <v>0</v>
      </c>
      <c r="M289" s="54">
        <f t="shared" si="35"/>
        <v>46874</v>
      </c>
      <c r="N289" s="7"/>
      <c r="O289" s="12"/>
      <c r="Q289" s="65"/>
      <c r="W289" s="3"/>
      <c r="X289" s="3"/>
    </row>
    <row r="290" spans="1:24" customFormat="1">
      <c r="A290" s="3"/>
      <c r="B290" s="7"/>
      <c r="C290" s="7">
        <v>29</v>
      </c>
      <c r="D290" s="24">
        <f t="shared" si="30"/>
        <v>-1666666.6666666667</v>
      </c>
      <c r="E290" s="103">
        <f t="shared" si="33"/>
        <v>0</v>
      </c>
      <c r="F290" s="53"/>
      <c r="G290" s="24">
        <f t="shared" si="31"/>
        <v>0</v>
      </c>
      <c r="H290" s="15"/>
      <c r="I290" s="15"/>
      <c r="J290" s="24">
        <f t="shared" si="32"/>
        <v>-1666666.6666666667</v>
      </c>
      <c r="K290" s="51">
        <f>IF(L290=1,0,IF(SUM(K$266:K289)&gt;=Construction_Timeline,0,1))</f>
        <v>1</v>
      </c>
      <c r="L290" s="13">
        <f t="shared" si="34"/>
        <v>0</v>
      </c>
      <c r="M290" s="54">
        <f t="shared" si="35"/>
        <v>46905</v>
      </c>
      <c r="N290" s="7"/>
      <c r="O290" s="12"/>
      <c r="Q290" s="65"/>
      <c r="W290" s="3"/>
      <c r="X290" s="3"/>
    </row>
    <row r="291" spans="1:24" customFormat="1">
      <c r="A291" s="3"/>
      <c r="B291" s="7"/>
      <c r="C291" s="7">
        <v>30</v>
      </c>
      <c r="D291" s="24">
        <f t="shared" si="30"/>
        <v>-1666666.6666666667</v>
      </c>
      <c r="E291" s="103">
        <f t="shared" si="33"/>
        <v>0</v>
      </c>
      <c r="F291" s="53"/>
      <c r="G291" s="24">
        <f t="shared" si="31"/>
        <v>0</v>
      </c>
      <c r="H291" s="15"/>
      <c r="I291" s="15"/>
      <c r="J291" s="24">
        <f t="shared" si="32"/>
        <v>-1666666.6666666667</v>
      </c>
      <c r="K291" s="51">
        <f>IF(L291=1,0,IF(SUM(K$266:K290)&gt;=Construction_Timeline,0,1))</f>
        <v>1</v>
      </c>
      <c r="L291" s="13">
        <f t="shared" si="34"/>
        <v>0</v>
      </c>
      <c r="M291" s="54">
        <f t="shared" si="35"/>
        <v>46935</v>
      </c>
      <c r="N291" s="7"/>
      <c r="O291" s="12"/>
      <c r="Q291" s="65"/>
      <c r="W291" s="3"/>
      <c r="X291" s="3"/>
    </row>
    <row r="292" spans="1:24" customFormat="1">
      <c r="A292" s="3"/>
      <c r="B292" s="7"/>
      <c r="C292" s="7">
        <v>31</v>
      </c>
      <c r="D292" s="24">
        <f t="shared" si="30"/>
        <v>-1666666.6666666667</v>
      </c>
      <c r="E292" s="103">
        <f t="shared" si="33"/>
        <v>0</v>
      </c>
      <c r="F292" s="53"/>
      <c r="G292" s="24">
        <f t="shared" si="31"/>
        <v>0</v>
      </c>
      <c r="H292" s="15"/>
      <c r="I292" s="15"/>
      <c r="J292" s="24">
        <f t="shared" si="32"/>
        <v>-1666666.6666666667</v>
      </c>
      <c r="K292" s="51">
        <f>IF(L292=1,0,IF(SUM(K$266:K291)&gt;=Construction_Timeline,0,1))</f>
        <v>1</v>
      </c>
      <c r="L292" s="13">
        <f t="shared" si="34"/>
        <v>0</v>
      </c>
      <c r="M292" s="54">
        <f t="shared" si="35"/>
        <v>46966</v>
      </c>
      <c r="N292" s="7"/>
      <c r="O292" s="12"/>
      <c r="Q292" s="65"/>
      <c r="W292" s="3"/>
      <c r="X292" s="3"/>
    </row>
    <row r="293" spans="1:24" customFormat="1">
      <c r="A293" s="3"/>
      <c r="B293" s="7"/>
      <c r="C293" s="7">
        <v>32</v>
      </c>
      <c r="D293" s="24">
        <f t="shared" ref="D293:D324" si="36">IF(K293=1,-Construction_Costs/Construction_Timeline,0)</f>
        <v>-1666666.6666666667</v>
      </c>
      <c r="E293" s="103">
        <f t="shared" si="33"/>
        <v>0</v>
      </c>
      <c r="F293" s="53"/>
      <c r="G293" s="24">
        <f t="shared" ref="G293:G324" si="37">IF(C293=SUM(Month_of_Sale,PreDev_Timeline,Construction_Timeline),Sale_Price*(1-D$64),0)</f>
        <v>0</v>
      </c>
      <c r="H293" s="15"/>
      <c r="I293" s="15"/>
      <c r="J293" s="24">
        <f t="shared" ref="J293:J324" si="38">SUM(D293:G293)</f>
        <v>-1666666.6666666667</v>
      </c>
      <c r="K293" s="51">
        <f>IF(L293=1,0,IF(SUM(K$266:K292)&gt;=Construction_Timeline,0,1))</f>
        <v>1</v>
      </c>
      <c r="L293" s="13">
        <f t="shared" si="34"/>
        <v>0</v>
      </c>
      <c r="M293" s="54">
        <f t="shared" si="35"/>
        <v>46997</v>
      </c>
      <c r="N293" s="7"/>
      <c r="O293" s="12"/>
      <c r="Q293" s="65"/>
      <c r="W293" s="3"/>
      <c r="X293" s="3"/>
    </row>
    <row r="294" spans="1:24" customFormat="1">
      <c r="A294" s="3"/>
      <c r="B294" s="7"/>
      <c r="C294" s="7">
        <v>33</v>
      </c>
      <c r="D294" s="24">
        <f t="shared" si="36"/>
        <v>-1666666.6666666667</v>
      </c>
      <c r="E294" s="103">
        <f t="shared" ref="E294:E325" si="39">-Pre_Development_Costs/PreDev_Timeline*L294</f>
        <v>0</v>
      </c>
      <c r="F294" s="53"/>
      <c r="G294" s="24">
        <f t="shared" si="37"/>
        <v>0</v>
      </c>
      <c r="H294" s="15"/>
      <c r="I294" s="15"/>
      <c r="J294" s="24">
        <f t="shared" si="38"/>
        <v>-1666666.6666666667</v>
      </c>
      <c r="K294" s="51">
        <f>IF(L294=1,0,IF(SUM(K$266:K293)&gt;=Construction_Timeline,0,1))</f>
        <v>1</v>
      </c>
      <c r="L294" s="13">
        <f t="shared" ref="L294:L325" si="40">IF(C294&lt;=PreDev_Timeline,1,0)</f>
        <v>0</v>
      </c>
      <c r="M294" s="54">
        <f t="shared" si="35"/>
        <v>47027</v>
      </c>
      <c r="N294" s="7"/>
      <c r="O294" s="12"/>
      <c r="Q294" s="65"/>
      <c r="W294" s="3"/>
      <c r="X294" s="3"/>
    </row>
    <row r="295" spans="1:24" customFormat="1">
      <c r="A295" s="3"/>
      <c r="B295" s="7"/>
      <c r="C295" s="7">
        <v>34</v>
      </c>
      <c r="D295" s="24">
        <f t="shared" si="36"/>
        <v>-1666666.6666666667</v>
      </c>
      <c r="E295" s="103">
        <f t="shared" si="39"/>
        <v>0</v>
      </c>
      <c r="F295" s="53"/>
      <c r="G295" s="24">
        <f t="shared" si="37"/>
        <v>0</v>
      </c>
      <c r="H295" s="15"/>
      <c r="I295" s="15"/>
      <c r="J295" s="24">
        <f t="shared" si="38"/>
        <v>-1666666.6666666667</v>
      </c>
      <c r="K295" s="51">
        <f>IF(L295=1,0,IF(SUM(K$266:K294)&gt;=Construction_Timeline,0,1))</f>
        <v>1</v>
      </c>
      <c r="L295" s="13">
        <f t="shared" si="40"/>
        <v>0</v>
      </c>
      <c r="M295" s="54">
        <f t="shared" si="35"/>
        <v>47058</v>
      </c>
      <c r="N295" s="7"/>
      <c r="O295" s="12"/>
      <c r="Q295" s="65"/>
      <c r="W295" s="3"/>
      <c r="X295" s="3"/>
    </row>
    <row r="296" spans="1:24" customFormat="1">
      <c r="A296" s="3"/>
      <c r="B296" s="7"/>
      <c r="C296" s="7">
        <v>35</v>
      </c>
      <c r="D296" s="24">
        <f t="shared" si="36"/>
        <v>-1666666.6666666667</v>
      </c>
      <c r="E296" s="103">
        <f t="shared" si="39"/>
        <v>0</v>
      </c>
      <c r="F296" s="53"/>
      <c r="G296" s="24">
        <f t="shared" si="37"/>
        <v>0</v>
      </c>
      <c r="H296" s="15"/>
      <c r="I296" s="15"/>
      <c r="J296" s="24">
        <f t="shared" si="38"/>
        <v>-1666666.6666666667</v>
      </c>
      <c r="K296" s="51">
        <f>IF(L296=1,0,IF(SUM(K$266:K295)&gt;=Construction_Timeline,0,1))</f>
        <v>1</v>
      </c>
      <c r="L296" s="13">
        <f t="shared" si="40"/>
        <v>0</v>
      </c>
      <c r="M296" s="54">
        <f t="shared" si="35"/>
        <v>47088</v>
      </c>
      <c r="N296" s="7"/>
      <c r="O296" s="12"/>
      <c r="Q296" s="65"/>
      <c r="W296" s="3"/>
      <c r="X296" s="3"/>
    </row>
    <row r="297" spans="1:24" customFormat="1">
      <c r="A297" s="3"/>
      <c r="B297" s="7"/>
      <c r="C297" s="7">
        <v>36</v>
      </c>
      <c r="D297" s="24">
        <f t="shared" si="36"/>
        <v>-1666666.6666666667</v>
      </c>
      <c r="E297" s="103">
        <f t="shared" si="39"/>
        <v>0</v>
      </c>
      <c r="F297" s="53"/>
      <c r="G297" s="24">
        <f t="shared" si="37"/>
        <v>0</v>
      </c>
      <c r="H297" s="15"/>
      <c r="I297" s="15"/>
      <c r="J297" s="24">
        <f t="shared" si="38"/>
        <v>-1666666.6666666667</v>
      </c>
      <c r="K297" s="51">
        <f>IF(L297=1,0,IF(SUM(K$266:K296)&gt;=Construction_Timeline,0,1))</f>
        <v>1</v>
      </c>
      <c r="L297" s="13">
        <f t="shared" si="40"/>
        <v>0</v>
      </c>
      <c r="M297" s="54">
        <f t="shared" si="35"/>
        <v>47119</v>
      </c>
      <c r="N297" s="7"/>
      <c r="O297" s="12"/>
      <c r="Q297" s="65"/>
      <c r="W297" s="3"/>
      <c r="X297" s="3"/>
    </row>
    <row r="298" spans="1:24" customFormat="1">
      <c r="A298" s="3"/>
      <c r="B298" s="7"/>
      <c r="C298" s="7">
        <v>37</v>
      </c>
      <c r="D298" s="24">
        <f t="shared" si="36"/>
        <v>-1666666.6666666667</v>
      </c>
      <c r="E298" s="103">
        <f t="shared" si="39"/>
        <v>0</v>
      </c>
      <c r="F298" s="53"/>
      <c r="G298" s="24">
        <f t="shared" si="37"/>
        <v>0</v>
      </c>
      <c r="H298" s="15"/>
      <c r="I298" s="15"/>
      <c r="J298" s="24">
        <f t="shared" si="38"/>
        <v>-1666666.6666666667</v>
      </c>
      <c r="K298" s="51">
        <f>IF(L298=1,0,IF(SUM(K$266:K297)&gt;=Construction_Timeline,0,1))</f>
        <v>1</v>
      </c>
      <c r="L298" s="13">
        <f t="shared" si="40"/>
        <v>0</v>
      </c>
      <c r="M298" s="54">
        <f t="shared" si="35"/>
        <v>47150</v>
      </c>
      <c r="N298" s="7"/>
      <c r="O298" s="12"/>
      <c r="Q298" s="65"/>
      <c r="W298" s="3"/>
      <c r="X298" s="3"/>
    </row>
    <row r="299" spans="1:24" customFormat="1">
      <c r="A299" s="3"/>
      <c r="B299" s="7"/>
      <c r="C299" s="7">
        <v>38</v>
      </c>
      <c r="D299" s="24">
        <f t="shared" si="36"/>
        <v>-1666666.6666666667</v>
      </c>
      <c r="E299" s="103">
        <f t="shared" si="39"/>
        <v>0</v>
      </c>
      <c r="F299" s="53"/>
      <c r="G299" s="24">
        <f t="shared" si="37"/>
        <v>0</v>
      </c>
      <c r="H299" s="15"/>
      <c r="I299" s="15"/>
      <c r="J299" s="24">
        <f t="shared" si="38"/>
        <v>-1666666.6666666667</v>
      </c>
      <c r="K299" s="51">
        <f>IF(L299=1,0,IF(SUM(K$266:K298)&gt;=Construction_Timeline,0,1))</f>
        <v>1</v>
      </c>
      <c r="L299" s="13">
        <f t="shared" si="40"/>
        <v>0</v>
      </c>
      <c r="M299" s="54">
        <f t="shared" si="35"/>
        <v>47178</v>
      </c>
      <c r="N299" s="7"/>
      <c r="O299" s="12"/>
      <c r="Q299" s="65"/>
      <c r="W299" s="3"/>
      <c r="X299" s="3"/>
    </row>
    <row r="300" spans="1:24" customFormat="1">
      <c r="A300" s="3"/>
      <c r="B300" s="7"/>
      <c r="C300" s="7">
        <v>39</v>
      </c>
      <c r="D300" s="24">
        <f t="shared" si="36"/>
        <v>-1666666.6666666667</v>
      </c>
      <c r="E300" s="103">
        <f t="shared" si="39"/>
        <v>0</v>
      </c>
      <c r="F300" s="53"/>
      <c r="G300" s="24">
        <f t="shared" si="37"/>
        <v>0</v>
      </c>
      <c r="H300" s="15"/>
      <c r="I300" s="15"/>
      <c r="J300" s="24">
        <f t="shared" si="38"/>
        <v>-1666666.6666666667</v>
      </c>
      <c r="K300" s="51">
        <f>IF(L300=1,0,IF(SUM(K$266:K299)&gt;=Construction_Timeline,0,1))</f>
        <v>1</v>
      </c>
      <c r="L300" s="13">
        <f t="shared" si="40"/>
        <v>0</v>
      </c>
      <c r="M300" s="54">
        <f t="shared" si="35"/>
        <v>47209</v>
      </c>
      <c r="N300" s="7"/>
      <c r="O300" s="12"/>
      <c r="Q300" s="65"/>
      <c r="W300" s="3"/>
      <c r="X300" s="3"/>
    </row>
    <row r="301" spans="1:24" customFormat="1">
      <c r="A301" s="3"/>
      <c r="B301" s="7"/>
      <c r="C301" s="7">
        <v>40</v>
      </c>
      <c r="D301" s="24">
        <f t="shared" si="36"/>
        <v>-1666666.6666666667</v>
      </c>
      <c r="E301" s="103">
        <f t="shared" si="39"/>
        <v>0</v>
      </c>
      <c r="F301" s="53"/>
      <c r="G301" s="24">
        <f t="shared" si="37"/>
        <v>0</v>
      </c>
      <c r="H301" s="15"/>
      <c r="I301" s="15"/>
      <c r="J301" s="24">
        <f t="shared" si="38"/>
        <v>-1666666.6666666667</v>
      </c>
      <c r="K301" s="51">
        <f>IF(L301=1,0,IF(SUM(K$266:K300)&gt;=Construction_Timeline,0,1))</f>
        <v>1</v>
      </c>
      <c r="L301" s="13">
        <f t="shared" si="40"/>
        <v>0</v>
      </c>
      <c r="M301" s="54">
        <f t="shared" si="35"/>
        <v>47239</v>
      </c>
      <c r="N301" s="7"/>
      <c r="O301" s="12"/>
      <c r="Q301" s="65"/>
      <c r="W301" s="3"/>
      <c r="X301" s="3"/>
    </row>
    <row r="302" spans="1:24" customFormat="1">
      <c r="A302" s="3"/>
      <c r="B302" s="7"/>
      <c r="C302" s="7">
        <v>41</v>
      </c>
      <c r="D302" s="24">
        <f t="shared" si="36"/>
        <v>-1666666.6666666667</v>
      </c>
      <c r="E302" s="103">
        <f t="shared" si="39"/>
        <v>0</v>
      </c>
      <c r="F302" s="53"/>
      <c r="G302" s="24">
        <f t="shared" si="37"/>
        <v>0</v>
      </c>
      <c r="H302" s="15"/>
      <c r="I302" s="15"/>
      <c r="J302" s="24">
        <f t="shared" si="38"/>
        <v>-1666666.6666666667</v>
      </c>
      <c r="K302" s="51">
        <f>IF(L302=1,0,IF(SUM(K$266:K301)&gt;=Construction_Timeline,0,1))</f>
        <v>1</v>
      </c>
      <c r="L302" s="13">
        <f t="shared" si="40"/>
        <v>0</v>
      </c>
      <c r="M302" s="54">
        <f t="shared" si="35"/>
        <v>47270</v>
      </c>
      <c r="N302" s="7"/>
      <c r="O302" s="12"/>
      <c r="Q302" s="65"/>
      <c r="W302" s="3"/>
      <c r="X302" s="3"/>
    </row>
    <row r="303" spans="1:24" customFormat="1">
      <c r="A303" s="3"/>
      <c r="B303" s="7"/>
      <c r="C303" s="7">
        <v>42</v>
      </c>
      <c r="D303" s="24">
        <f t="shared" si="36"/>
        <v>-1666666.6666666667</v>
      </c>
      <c r="E303" s="103">
        <f t="shared" si="39"/>
        <v>0</v>
      </c>
      <c r="F303" s="53"/>
      <c r="G303" s="24">
        <f t="shared" si="37"/>
        <v>0</v>
      </c>
      <c r="H303" s="15"/>
      <c r="I303" s="15"/>
      <c r="J303" s="24">
        <f t="shared" si="38"/>
        <v>-1666666.6666666667</v>
      </c>
      <c r="K303" s="51">
        <f>IF(L303=1,0,IF(SUM(K$266:K302)&gt;=Construction_Timeline,0,1))</f>
        <v>1</v>
      </c>
      <c r="L303" s="13">
        <f t="shared" si="40"/>
        <v>0</v>
      </c>
      <c r="M303" s="54">
        <f t="shared" si="35"/>
        <v>47300</v>
      </c>
      <c r="N303" s="7"/>
      <c r="O303" s="12"/>
      <c r="Q303" s="65"/>
      <c r="W303" s="3"/>
      <c r="X303" s="3"/>
    </row>
    <row r="304" spans="1:24" customFormat="1">
      <c r="A304" s="3"/>
      <c r="B304" s="7"/>
      <c r="C304" s="7">
        <v>43</v>
      </c>
      <c r="D304" s="24">
        <f t="shared" si="36"/>
        <v>0</v>
      </c>
      <c r="E304" s="103">
        <f t="shared" si="39"/>
        <v>0</v>
      </c>
      <c r="F304" s="53"/>
      <c r="G304" s="24">
        <f t="shared" si="37"/>
        <v>0</v>
      </c>
      <c r="H304" s="15"/>
      <c r="I304" s="15"/>
      <c r="J304" s="24">
        <f t="shared" si="38"/>
        <v>0</v>
      </c>
      <c r="K304" s="51">
        <f>IF(L304=1,0,IF(SUM(K$266:K303)&gt;=Construction_Timeline,0,1))</f>
        <v>0</v>
      </c>
      <c r="L304" s="13">
        <f t="shared" si="40"/>
        <v>0</v>
      </c>
      <c r="M304" s="54">
        <f t="shared" si="35"/>
        <v>47331</v>
      </c>
      <c r="N304" s="7"/>
      <c r="O304" s="12"/>
      <c r="Q304" s="65"/>
      <c r="W304" s="3"/>
      <c r="X304" s="3"/>
    </row>
    <row r="305" spans="1:24" customFormat="1">
      <c r="A305" s="3"/>
      <c r="B305" s="7"/>
      <c r="C305" s="7">
        <v>44</v>
      </c>
      <c r="D305" s="24">
        <f t="shared" si="36"/>
        <v>0</v>
      </c>
      <c r="E305" s="103">
        <f t="shared" si="39"/>
        <v>0</v>
      </c>
      <c r="F305" s="53"/>
      <c r="G305" s="24">
        <f t="shared" si="37"/>
        <v>0</v>
      </c>
      <c r="H305" s="15"/>
      <c r="I305" s="15"/>
      <c r="J305" s="24">
        <f t="shared" si="38"/>
        <v>0</v>
      </c>
      <c r="K305" s="51">
        <f>IF(L305=1,0,IF(SUM(K$266:K304)&gt;=Construction_Timeline,0,1))</f>
        <v>0</v>
      </c>
      <c r="L305" s="13">
        <f t="shared" si="40"/>
        <v>0</v>
      </c>
      <c r="M305" s="54">
        <f t="shared" si="35"/>
        <v>47362</v>
      </c>
      <c r="N305" s="7"/>
      <c r="O305" s="12"/>
      <c r="Q305" s="65"/>
      <c r="W305" s="3"/>
      <c r="X305" s="3"/>
    </row>
    <row r="306" spans="1:24" customFormat="1">
      <c r="A306" s="3"/>
      <c r="B306" s="7"/>
      <c r="C306" s="7">
        <v>45</v>
      </c>
      <c r="D306" s="24">
        <f t="shared" si="36"/>
        <v>0</v>
      </c>
      <c r="E306" s="103">
        <f t="shared" si="39"/>
        <v>0</v>
      </c>
      <c r="F306" s="53"/>
      <c r="G306" s="24">
        <f t="shared" si="37"/>
        <v>0</v>
      </c>
      <c r="H306" s="15"/>
      <c r="I306" s="15"/>
      <c r="J306" s="24">
        <f t="shared" si="38"/>
        <v>0</v>
      </c>
      <c r="K306" s="51">
        <f>IF(L306=1,0,IF(SUM(K$266:K305)&gt;=Construction_Timeline,0,1))</f>
        <v>0</v>
      </c>
      <c r="L306" s="13">
        <f t="shared" si="40"/>
        <v>0</v>
      </c>
      <c r="M306" s="54">
        <f t="shared" si="35"/>
        <v>47392</v>
      </c>
      <c r="N306" s="7"/>
      <c r="O306" s="12"/>
      <c r="Q306" s="65"/>
      <c r="W306" s="3"/>
      <c r="X306" s="3"/>
    </row>
    <row r="307" spans="1:24" customFormat="1">
      <c r="A307" s="3"/>
      <c r="B307" s="7"/>
      <c r="C307" s="7">
        <v>46</v>
      </c>
      <c r="D307" s="24">
        <f t="shared" si="36"/>
        <v>0</v>
      </c>
      <c r="E307" s="103">
        <f t="shared" si="39"/>
        <v>0</v>
      </c>
      <c r="F307" s="53"/>
      <c r="G307" s="24">
        <f t="shared" si="37"/>
        <v>0</v>
      </c>
      <c r="H307" s="15"/>
      <c r="I307" s="15"/>
      <c r="J307" s="24">
        <f t="shared" si="38"/>
        <v>0</v>
      </c>
      <c r="K307" s="51">
        <f>IF(L307=1,0,IF(SUM(K$266:K306)&gt;=Construction_Timeline,0,1))</f>
        <v>0</v>
      </c>
      <c r="L307" s="13">
        <f t="shared" si="40"/>
        <v>0</v>
      </c>
      <c r="M307" s="54">
        <f t="shared" si="35"/>
        <v>47423</v>
      </c>
      <c r="N307" s="7"/>
      <c r="O307" s="12"/>
      <c r="Q307" s="65"/>
      <c r="W307" s="3"/>
      <c r="X307" s="3"/>
    </row>
    <row r="308" spans="1:24" customFormat="1">
      <c r="A308" s="3"/>
      <c r="B308" s="7"/>
      <c r="C308" s="7">
        <v>47</v>
      </c>
      <c r="D308" s="24">
        <f t="shared" si="36"/>
        <v>0</v>
      </c>
      <c r="E308" s="103">
        <f t="shared" si="39"/>
        <v>0</v>
      </c>
      <c r="F308" s="53"/>
      <c r="G308" s="24">
        <f t="shared" si="37"/>
        <v>0</v>
      </c>
      <c r="H308" s="15"/>
      <c r="I308" s="15"/>
      <c r="J308" s="24">
        <f t="shared" si="38"/>
        <v>0</v>
      </c>
      <c r="K308" s="51">
        <f>IF(L308=1,0,IF(SUM(K$266:K307)&gt;=Construction_Timeline,0,1))</f>
        <v>0</v>
      </c>
      <c r="L308" s="13">
        <f t="shared" si="40"/>
        <v>0</v>
      </c>
      <c r="M308" s="54">
        <f t="shared" si="35"/>
        <v>47453</v>
      </c>
      <c r="N308" s="7"/>
      <c r="O308" s="12"/>
      <c r="Q308" s="65"/>
      <c r="W308" s="3"/>
      <c r="X308" s="3"/>
    </row>
    <row r="309" spans="1:24" customFormat="1">
      <c r="A309" s="3"/>
      <c r="B309" s="7"/>
      <c r="C309" s="7">
        <v>48</v>
      </c>
      <c r="D309" s="24">
        <f t="shared" si="36"/>
        <v>0</v>
      </c>
      <c r="E309" s="103">
        <f t="shared" si="39"/>
        <v>0</v>
      </c>
      <c r="F309" s="53"/>
      <c r="G309" s="24">
        <f t="shared" si="37"/>
        <v>43650000</v>
      </c>
      <c r="H309" s="15"/>
      <c r="I309" s="15"/>
      <c r="J309" s="24">
        <f t="shared" si="38"/>
        <v>43650000</v>
      </c>
      <c r="K309" s="51">
        <f>IF(L309=1,0,IF(SUM(K$266:K308)&gt;=Construction_Timeline,0,1))</f>
        <v>0</v>
      </c>
      <c r="L309" s="13">
        <f t="shared" si="40"/>
        <v>0</v>
      </c>
      <c r="M309" s="54">
        <f t="shared" si="35"/>
        <v>47484</v>
      </c>
      <c r="N309" s="7"/>
      <c r="O309" s="12"/>
      <c r="Q309" s="65"/>
      <c r="W309" s="3"/>
      <c r="X309" s="3"/>
    </row>
    <row r="310" spans="1:24" customFormat="1">
      <c r="A310" s="3"/>
      <c r="B310" s="7"/>
      <c r="C310" s="7">
        <v>49</v>
      </c>
      <c r="D310" s="24">
        <f t="shared" si="36"/>
        <v>0</v>
      </c>
      <c r="E310" s="103">
        <f t="shared" si="39"/>
        <v>0</v>
      </c>
      <c r="F310" s="53"/>
      <c r="G310" s="24">
        <f t="shared" si="37"/>
        <v>0</v>
      </c>
      <c r="H310" s="15"/>
      <c r="I310" s="15"/>
      <c r="J310" s="24">
        <f t="shared" si="38"/>
        <v>0</v>
      </c>
      <c r="K310" s="51">
        <f>IF(L310=1,0,IF(SUM(K$266:K309)&gt;=Construction_Timeline,0,1))</f>
        <v>0</v>
      </c>
      <c r="L310" s="13">
        <f t="shared" si="40"/>
        <v>0</v>
      </c>
      <c r="M310" s="54">
        <f t="shared" si="35"/>
        <v>47515</v>
      </c>
      <c r="N310" s="7"/>
      <c r="O310" s="12"/>
      <c r="Q310" s="65"/>
      <c r="W310" s="3"/>
      <c r="X310" s="3"/>
    </row>
    <row r="311" spans="1:24" customFormat="1">
      <c r="A311" s="3"/>
      <c r="B311" s="7"/>
      <c r="C311" s="7">
        <v>50</v>
      </c>
      <c r="D311" s="24">
        <f t="shared" si="36"/>
        <v>0</v>
      </c>
      <c r="E311" s="103">
        <f t="shared" si="39"/>
        <v>0</v>
      </c>
      <c r="F311" s="53"/>
      <c r="G311" s="24">
        <f t="shared" si="37"/>
        <v>0</v>
      </c>
      <c r="H311" s="15"/>
      <c r="I311" s="15"/>
      <c r="J311" s="24">
        <f t="shared" si="38"/>
        <v>0</v>
      </c>
      <c r="K311" s="51">
        <f>IF(L311=1,0,IF(SUM(K$266:K310)&gt;=Construction_Timeline,0,1))</f>
        <v>0</v>
      </c>
      <c r="L311" s="13">
        <f t="shared" si="40"/>
        <v>0</v>
      </c>
      <c r="M311" s="54">
        <f t="shared" si="35"/>
        <v>47543</v>
      </c>
      <c r="N311" s="7"/>
      <c r="O311" s="12"/>
      <c r="Q311" s="65"/>
      <c r="W311" s="3"/>
      <c r="X311" s="3"/>
    </row>
    <row r="312" spans="1:24" customFormat="1">
      <c r="A312" s="3"/>
      <c r="B312" s="7"/>
      <c r="C312" s="7">
        <v>51</v>
      </c>
      <c r="D312" s="24">
        <f t="shared" si="36"/>
        <v>0</v>
      </c>
      <c r="E312" s="103">
        <f t="shared" si="39"/>
        <v>0</v>
      </c>
      <c r="F312" s="53"/>
      <c r="G312" s="24">
        <f t="shared" si="37"/>
        <v>0</v>
      </c>
      <c r="H312" s="15"/>
      <c r="I312" s="15"/>
      <c r="J312" s="24">
        <f t="shared" si="38"/>
        <v>0</v>
      </c>
      <c r="K312" s="51">
        <f>IF(L312=1,0,IF(SUM(K$266:K311)&gt;=Construction_Timeline,0,1))</f>
        <v>0</v>
      </c>
      <c r="L312" s="13">
        <f t="shared" si="40"/>
        <v>0</v>
      </c>
      <c r="M312" s="54">
        <f t="shared" si="35"/>
        <v>47574</v>
      </c>
      <c r="N312" s="7"/>
      <c r="O312" s="12"/>
      <c r="Q312" s="65"/>
      <c r="W312" s="3"/>
      <c r="X312" s="3"/>
    </row>
    <row r="313" spans="1:24" customFormat="1">
      <c r="A313" s="3"/>
      <c r="B313" s="7"/>
      <c r="C313" s="7">
        <v>52</v>
      </c>
      <c r="D313" s="24">
        <f t="shared" si="36"/>
        <v>0</v>
      </c>
      <c r="E313" s="103">
        <f t="shared" si="39"/>
        <v>0</v>
      </c>
      <c r="F313" s="53"/>
      <c r="G313" s="24">
        <f t="shared" si="37"/>
        <v>0</v>
      </c>
      <c r="H313" s="15"/>
      <c r="I313" s="15"/>
      <c r="J313" s="24">
        <f t="shared" si="38"/>
        <v>0</v>
      </c>
      <c r="K313" s="51">
        <f>IF(L313=1,0,IF(SUM(K$266:K312)&gt;=Construction_Timeline,0,1))</f>
        <v>0</v>
      </c>
      <c r="L313" s="13">
        <f t="shared" si="40"/>
        <v>0</v>
      </c>
      <c r="M313" s="54">
        <f t="shared" si="35"/>
        <v>47604</v>
      </c>
      <c r="N313" s="7"/>
      <c r="O313" s="12"/>
      <c r="Q313" s="65"/>
      <c r="W313" s="3"/>
      <c r="X313" s="3"/>
    </row>
    <row r="314" spans="1:24" customFormat="1">
      <c r="A314" s="3"/>
      <c r="B314" s="7"/>
      <c r="C314" s="7">
        <v>53</v>
      </c>
      <c r="D314" s="24">
        <f t="shared" si="36"/>
        <v>0</v>
      </c>
      <c r="E314" s="103">
        <f t="shared" si="39"/>
        <v>0</v>
      </c>
      <c r="F314" s="53"/>
      <c r="G314" s="24">
        <f t="shared" si="37"/>
        <v>0</v>
      </c>
      <c r="H314" s="15"/>
      <c r="I314" s="15"/>
      <c r="J314" s="24">
        <f t="shared" si="38"/>
        <v>0</v>
      </c>
      <c r="K314" s="51">
        <f>IF(L314=1,0,IF(SUM(K$266:K313)&gt;=Construction_Timeline,0,1))</f>
        <v>0</v>
      </c>
      <c r="L314" s="13">
        <f t="shared" si="40"/>
        <v>0</v>
      </c>
      <c r="M314" s="54">
        <f t="shared" si="35"/>
        <v>47635</v>
      </c>
      <c r="N314" s="7"/>
      <c r="O314" s="12"/>
      <c r="Q314" s="65"/>
      <c r="W314" s="3"/>
      <c r="X314" s="3"/>
    </row>
    <row r="315" spans="1:24" customFormat="1">
      <c r="A315" s="3"/>
      <c r="B315" s="7"/>
      <c r="C315" s="7">
        <v>54</v>
      </c>
      <c r="D315" s="24">
        <f t="shared" si="36"/>
        <v>0</v>
      </c>
      <c r="E315" s="103">
        <f t="shared" si="39"/>
        <v>0</v>
      </c>
      <c r="F315" s="53"/>
      <c r="G315" s="24">
        <f t="shared" si="37"/>
        <v>0</v>
      </c>
      <c r="H315" s="15"/>
      <c r="I315" s="15"/>
      <c r="J315" s="24">
        <f t="shared" si="38"/>
        <v>0</v>
      </c>
      <c r="K315" s="51">
        <f>IF(L315=1,0,IF(SUM(K$266:K314)&gt;=Construction_Timeline,0,1))</f>
        <v>0</v>
      </c>
      <c r="L315" s="13">
        <f t="shared" si="40"/>
        <v>0</v>
      </c>
      <c r="M315" s="54">
        <f t="shared" si="35"/>
        <v>47665</v>
      </c>
      <c r="N315" s="7"/>
      <c r="O315" s="12"/>
      <c r="Q315" s="65"/>
      <c r="W315" s="3"/>
      <c r="X315" s="3"/>
    </row>
    <row r="316" spans="1:24" customFormat="1">
      <c r="A316" s="3"/>
      <c r="B316" s="7"/>
      <c r="C316" s="7">
        <v>55</v>
      </c>
      <c r="D316" s="24">
        <f t="shared" si="36"/>
        <v>0</v>
      </c>
      <c r="E316" s="103">
        <f t="shared" si="39"/>
        <v>0</v>
      </c>
      <c r="F316" s="53"/>
      <c r="G316" s="24">
        <f t="shared" si="37"/>
        <v>0</v>
      </c>
      <c r="H316" s="15"/>
      <c r="I316" s="15"/>
      <c r="J316" s="24">
        <f t="shared" si="38"/>
        <v>0</v>
      </c>
      <c r="K316" s="51">
        <f>IF(L316=1,0,IF(SUM(K$266:K315)&gt;=Construction_Timeline,0,1))</f>
        <v>0</v>
      </c>
      <c r="L316" s="13">
        <f t="shared" si="40"/>
        <v>0</v>
      </c>
      <c r="M316" s="54">
        <f t="shared" si="35"/>
        <v>47696</v>
      </c>
      <c r="N316" s="7"/>
      <c r="O316" s="12"/>
      <c r="Q316" s="65"/>
      <c r="W316" s="3"/>
      <c r="X316" s="3"/>
    </row>
    <row r="317" spans="1:24" customFormat="1">
      <c r="A317" s="3"/>
      <c r="B317" s="7"/>
      <c r="C317" s="7">
        <v>56</v>
      </c>
      <c r="D317" s="24">
        <f t="shared" si="36"/>
        <v>0</v>
      </c>
      <c r="E317" s="103">
        <f t="shared" si="39"/>
        <v>0</v>
      </c>
      <c r="F317" s="53"/>
      <c r="G317" s="24">
        <f t="shared" si="37"/>
        <v>0</v>
      </c>
      <c r="H317" s="15"/>
      <c r="I317" s="15"/>
      <c r="J317" s="24">
        <f t="shared" si="38"/>
        <v>0</v>
      </c>
      <c r="K317" s="51">
        <f>IF(L317=1,0,IF(SUM(K$266:K316)&gt;=Construction_Timeline,0,1))</f>
        <v>0</v>
      </c>
      <c r="L317" s="13">
        <f t="shared" si="40"/>
        <v>0</v>
      </c>
      <c r="M317" s="54">
        <f t="shared" si="35"/>
        <v>47727</v>
      </c>
      <c r="N317" s="7"/>
      <c r="O317" s="12"/>
      <c r="Q317" s="65"/>
      <c r="W317" s="3"/>
      <c r="X317" s="3"/>
    </row>
    <row r="318" spans="1:24" customFormat="1">
      <c r="A318" s="3"/>
      <c r="B318" s="7"/>
      <c r="C318" s="7">
        <v>57</v>
      </c>
      <c r="D318" s="24">
        <f t="shared" si="36"/>
        <v>0</v>
      </c>
      <c r="E318" s="103">
        <f t="shared" si="39"/>
        <v>0</v>
      </c>
      <c r="F318" s="53"/>
      <c r="G318" s="24">
        <f t="shared" si="37"/>
        <v>0</v>
      </c>
      <c r="H318" s="15"/>
      <c r="I318" s="15"/>
      <c r="J318" s="24">
        <f t="shared" si="38"/>
        <v>0</v>
      </c>
      <c r="K318" s="51">
        <f>IF(L318=1,0,IF(SUM(K$266:K317)&gt;=Construction_Timeline,0,1))</f>
        <v>0</v>
      </c>
      <c r="L318" s="13">
        <f t="shared" si="40"/>
        <v>0</v>
      </c>
      <c r="M318" s="54">
        <f t="shared" si="35"/>
        <v>47757</v>
      </c>
      <c r="N318" s="7"/>
      <c r="O318" s="12"/>
      <c r="Q318" s="65"/>
      <c r="W318" s="3"/>
      <c r="X318" s="3"/>
    </row>
    <row r="319" spans="1:24" customFormat="1">
      <c r="A319" s="3"/>
      <c r="B319" s="7"/>
      <c r="C319" s="7">
        <v>58</v>
      </c>
      <c r="D319" s="24">
        <f t="shared" si="36"/>
        <v>0</v>
      </c>
      <c r="E319" s="103">
        <f t="shared" si="39"/>
        <v>0</v>
      </c>
      <c r="F319" s="53"/>
      <c r="G319" s="24">
        <f t="shared" si="37"/>
        <v>0</v>
      </c>
      <c r="H319" s="15"/>
      <c r="I319" s="15"/>
      <c r="J319" s="24">
        <f t="shared" si="38"/>
        <v>0</v>
      </c>
      <c r="K319" s="51">
        <f>IF(L319=1,0,IF(SUM(K$266:K318)&gt;=Construction_Timeline,0,1))</f>
        <v>0</v>
      </c>
      <c r="L319" s="13">
        <f t="shared" si="40"/>
        <v>0</v>
      </c>
      <c r="M319" s="54">
        <f t="shared" si="35"/>
        <v>47788</v>
      </c>
      <c r="N319" s="7"/>
      <c r="O319" s="12"/>
      <c r="Q319" s="65"/>
      <c r="W319" s="3"/>
      <c r="X319" s="3"/>
    </row>
    <row r="320" spans="1:24" customFormat="1">
      <c r="A320" s="3"/>
      <c r="B320" s="7"/>
      <c r="C320" s="7">
        <v>59</v>
      </c>
      <c r="D320" s="24">
        <f t="shared" si="36"/>
        <v>0</v>
      </c>
      <c r="E320" s="103">
        <f t="shared" si="39"/>
        <v>0</v>
      </c>
      <c r="F320" s="53"/>
      <c r="G320" s="24">
        <f t="shared" si="37"/>
        <v>0</v>
      </c>
      <c r="H320" s="15"/>
      <c r="I320" s="15"/>
      <c r="J320" s="24">
        <f t="shared" si="38"/>
        <v>0</v>
      </c>
      <c r="K320" s="51">
        <f>IF(L320=1,0,IF(SUM(K$266:K319)&gt;=Construction_Timeline,0,1))</f>
        <v>0</v>
      </c>
      <c r="L320" s="13">
        <f t="shared" si="40"/>
        <v>0</v>
      </c>
      <c r="M320" s="54">
        <f t="shared" si="35"/>
        <v>47818</v>
      </c>
      <c r="N320" s="7"/>
      <c r="O320" s="12"/>
      <c r="Q320" s="65"/>
      <c r="W320" s="3"/>
      <c r="X320" s="3"/>
    </row>
    <row r="321" spans="1:24" customFormat="1">
      <c r="A321" s="3"/>
      <c r="B321" s="7"/>
      <c r="C321" s="7">
        <v>60</v>
      </c>
      <c r="D321" s="24">
        <f t="shared" si="36"/>
        <v>0</v>
      </c>
      <c r="E321" s="103">
        <f t="shared" si="39"/>
        <v>0</v>
      </c>
      <c r="F321" s="53"/>
      <c r="G321" s="24">
        <f t="shared" si="37"/>
        <v>0</v>
      </c>
      <c r="H321" s="15"/>
      <c r="I321" s="15"/>
      <c r="J321" s="24">
        <f t="shared" si="38"/>
        <v>0</v>
      </c>
      <c r="K321" s="51">
        <f>IF(L321=1,0,IF(SUM(K$266:K320)&gt;=Construction_Timeline,0,1))</f>
        <v>0</v>
      </c>
      <c r="L321" s="13">
        <f t="shared" si="40"/>
        <v>0</v>
      </c>
      <c r="M321" s="54">
        <f t="shared" si="35"/>
        <v>47849</v>
      </c>
      <c r="N321" s="7"/>
      <c r="O321" s="12"/>
      <c r="Q321" s="65"/>
      <c r="W321" s="3"/>
      <c r="X321" s="3"/>
    </row>
    <row r="322" spans="1:24" customFormat="1">
      <c r="A322" s="3"/>
      <c r="B322" s="7"/>
      <c r="C322" s="7">
        <v>61</v>
      </c>
      <c r="D322" s="24">
        <f t="shared" si="36"/>
        <v>0</v>
      </c>
      <c r="E322" s="103">
        <f t="shared" si="39"/>
        <v>0</v>
      </c>
      <c r="F322" s="53"/>
      <c r="G322" s="24">
        <f t="shared" si="37"/>
        <v>0</v>
      </c>
      <c r="H322" s="15"/>
      <c r="I322" s="15"/>
      <c r="J322" s="24">
        <f t="shared" si="38"/>
        <v>0</v>
      </c>
      <c r="K322" s="51">
        <f>IF(L322=1,0,IF(SUM(K$266:K321)&gt;=Construction_Timeline,0,1))</f>
        <v>0</v>
      </c>
      <c r="L322" s="13">
        <f t="shared" si="40"/>
        <v>0</v>
      </c>
      <c r="M322" s="54">
        <f t="shared" si="35"/>
        <v>47880</v>
      </c>
      <c r="N322" s="7"/>
      <c r="O322" s="12"/>
      <c r="Q322" s="65"/>
      <c r="W322" s="3"/>
      <c r="X322" s="3"/>
    </row>
    <row r="323" spans="1:24" customFormat="1">
      <c r="A323" s="3"/>
      <c r="B323" s="7"/>
      <c r="C323" s="7">
        <v>62</v>
      </c>
      <c r="D323" s="24">
        <f t="shared" si="36"/>
        <v>0</v>
      </c>
      <c r="E323" s="103">
        <f t="shared" si="39"/>
        <v>0</v>
      </c>
      <c r="F323" s="53"/>
      <c r="G323" s="24">
        <f t="shared" si="37"/>
        <v>0</v>
      </c>
      <c r="H323" s="15"/>
      <c r="I323" s="15"/>
      <c r="J323" s="24">
        <f t="shared" si="38"/>
        <v>0</v>
      </c>
      <c r="K323" s="51">
        <f>IF(L323=1,0,IF(SUM(K$266:K322)&gt;=Construction_Timeline,0,1))</f>
        <v>0</v>
      </c>
      <c r="L323" s="13">
        <f t="shared" si="40"/>
        <v>0</v>
      </c>
      <c r="M323" s="54">
        <f t="shared" si="35"/>
        <v>47908</v>
      </c>
      <c r="N323" s="7"/>
      <c r="O323" s="12"/>
      <c r="Q323" s="65"/>
      <c r="W323" s="3"/>
      <c r="X323" s="3"/>
    </row>
    <row r="324" spans="1:24" customFormat="1">
      <c r="A324" s="3"/>
      <c r="B324" s="7"/>
      <c r="C324" s="7">
        <v>63</v>
      </c>
      <c r="D324" s="24">
        <f t="shared" si="36"/>
        <v>0</v>
      </c>
      <c r="E324" s="103">
        <f t="shared" si="39"/>
        <v>0</v>
      </c>
      <c r="F324" s="53"/>
      <c r="G324" s="24">
        <f t="shared" si="37"/>
        <v>0</v>
      </c>
      <c r="H324" s="15"/>
      <c r="I324" s="15"/>
      <c r="J324" s="24">
        <f t="shared" si="38"/>
        <v>0</v>
      </c>
      <c r="K324" s="51">
        <f>IF(L324=1,0,IF(SUM(K$266:K323)&gt;=Construction_Timeline,0,1))</f>
        <v>0</v>
      </c>
      <c r="L324" s="13">
        <f t="shared" si="40"/>
        <v>0</v>
      </c>
      <c r="M324" s="54">
        <f t="shared" si="35"/>
        <v>47939</v>
      </c>
      <c r="N324" s="7"/>
      <c r="O324" s="12"/>
      <c r="Q324" s="65"/>
      <c r="W324" s="3"/>
      <c r="X324" s="3"/>
    </row>
    <row r="325" spans="1:24" customFormat="1">
      <c r="A325" s="3"/>
      <c r="B325" s="7"/>
      <c r="C325" s="7">
        <v>64</v>
      </c>
      <c r="D325" s="24">
        <f t="shared" ref="D325:D356" si="41">IF(K325=1,-Construction_Costs/Construction_Timeline,0)</f>
        <v>0</v>
      </c>
      <c r="E325" s="103">
        <f t="shared" si="39"/>
        <v>0</v>
      </c>
      <c r="F325" s="53"/>
      <c r="G325" s="24">
        <f t="shared" ref="G325:G356" si="42">IF(C325=SUM(Month_of_Sale,PreDev_Timeline,Construction_Timeline),Sale_Price*(1-D$64),0)</f>
        <v>0</v>
      </c>
      <c r="H325" s="15"/>
      <c r="I325" s="15"/>
      <c r="J325" s="24">
        <f t="shared" ref="J325:J356" si="43">SUM(D325:G325)</f>
        <v>0</v>
      </c>
      <c r="K325" s="51">
        <f>IF(L325=1,0,IF(SUM(K$266:K324)&gt;=Construction_Timeline,0,1))</f>
        <v>0</v>
      </c>
      <c r="L325" s="13">
        <f t="shared" si="40"/>
        <v>0</v>
      </c>
      <c r="M325" s="54">
        <f t="shared" si="35"/>
        <v>47969</v>
      </c>
      <c r="N325" s="7"/>
      <c r="O325" s="12"/>
      <c r="Q325" s="65"/>
      <c r="W325" s="3"/>
      <c r="X325" s="3"/>
    </row>
    <row r="326" spans="1:24" customFormat="1">
      <c r="A326" s="3"/>
      <c r="B326" s="7"/>
      <c r="C326" s="7">
        <v>65</v>
      </c>
      <c r="D326" s="24">
        <f t="shared" si="41"/>
        <v>0</v>
      </c>
      <c r="E326" s="103">
        <f t="shared" ref="E326:E357" si="44">-Pre_Development_Costs/PreDev_Timeline*L326</f>
        <v>0</v>
      </c>
      <c r="F326" s="53"/>
      <c r="G326" s="24">
        <f t="shared" si="42"/>
        <v>0</v>
      </c>
      <c r="H326" s="15"/>
      <c r="I326" s="15"/>
      <c r="J326" s="24">
        <f t="shared" si="43"/>
        <v>0</v>
      </c>
      <c r="K326" s="51">
        <f>IF(L326=1,0,IF(SUM(K$266:K325)&gt;=Construction_Timeline,0,1))</f>
        <v>0</v>
      </c>
      <c r="L326" s="13">
        <f t="shared" ref="L326:L357" si="45">IF(C326&lt;=PreDev_Timeline,1,0)</f>
        <v>0</v>
      </c>
      <c r="M326" s="54">
        <f t="shared" si="35"/>
        <v>48000</v>
      </c>
      <c r="N326" s="7"/>
      <c r="O326" s="12"/>
      <c r="Q326" s="65"/>
      <c r="W326" s="3"/>
      <c r="X326" s="3"/>
    </row>
    <row r="327" spans="1:24" customFormat="1">
      <c r="A327" s="3"/>
      <c r="B327" s="7"/>
      <c r="C327" s="7">
        <v>66</v>
      </c>
      <c r="D327" s="24">
        <f t="shared" si="41"/>
        <v>0</v>
      </c>
      <c r="E327" s="103">
        <f t="shared" si="44"/>
        <v>0</v>
      </c>
      <c r="F327" s="53"/>
      <c r="G327" s="24">
        <f t="shared" si="42"/>
        <v>0</v>
      </c>
      <c r="H327" s="15"/>
      <c r="I327" s="15"/>
      <c r="J327" s="24">
        <f t="shared" si="43"/>
        <v>0</v>
      </c>
      <c r="K327" s="51">
        <f>IF(L327=1,0,IF(SUM(K$266:K326)&gt;=Construction_Timeline,0,1))</f>
        <v>0</v>
      </c>
      <c r="L327" s="13">
        <f t="shared" si="45"/>
        <v>0</v>
      </c>
      <c r="M327" s="54">
        <f t="shared" ref="M327:M390" si="46">EDATE(M326,1)</f>
        <v>48030</v>
      </c>
      <c r="N327" s="7"/>
      <c r="O327" s="12"/>
      <c r="Q327" s="65"/>
      <c r="W327" s="3"/>
      <c r="X327" s="3"/>
    </row>
    <row r="328" spans="1:24" customFormat="1">
      <c r="A328" s="3"/>
      <c r="B328" s="7"/>
      <c r="C328" s="7">
        <v>67</v>
      </c>
      <c r="D328" s="24">
        <f t="shared" si="41"/>
        <v>0</v>
      </c>
      <c r="E328" s="103">
        <f t="shared" si="44"/>
        <v>0</v>
      </c>
      <c r="F328" s="53"/>
      <c r="G328" s="24">
        <f t="shared" si="42"/>
        <v>0</v>
      </c>
      <c r="H328" s="15"/>
      <c r="I328" s="15"/>
      <c r="J328" s="24">
        <f t="shared" si="43"/>
        <v>0</v>
      </c>
      <c r="K328" s="51">
        <f>IF(L328=1,0,IF(SUM(K$266:K327)&gt;=Construction_Timeline,0,1))</f>
        <v>0</v>
      </c>
      <c r="L328" s="13">
        <f t="shared" si="45"/>
        <v>0</v>
      </c>
      <c r="M328" s="54">
        <f t="shared" si="46"/>
        <v>48061</v>
      </c>
      <c r="N328" s="7"/>
      <c r="O328" s="12"/>
      <c r="Q328" s="65"/>
      <c r="W328" s="3"/>
      <c r="X328" s="3"/>
    </row>
    <row r="329" spans="1:24" customFormat="1">
      <c r="A329" s="3"/>
      <c r="B329" s="7"/>
      <c r="C329" s="7">
        <v>68</v>
      </c>
      <c r="D329" s="24">
        <f t="shared" si="41"/>
        <v>0</v>
      </c>
      <c r="E329" s="103">
        <f t="shared" si="44"/>
        <v>0</v>
      </c>
      <c r="F329" s="53"/>
      <c r="G329" s="24">
        <f t="shared" si="42"/>
        <v>0</v>
      </c>
      <c r="H329" s="15"/>
      <c r="I329" s="15"/>
      <c r="J329" s="24">
        <f t="shared" si="43"/>
        <v>0</v>
      </c>
      <c r="K329" s="51">
        <f>IF(L329=1,0,IF(SUM(K$266:K328)&gt;=Construction_Timeline,0,1))</f>
        <v>0</v>
      </c>
      <c r="L329" s="13">
        <f t="shared" si="45"/>
        <v>0</v>
      </c>
      <c r="M329" s="54">
        <f t="shared" si="46"/>
        <v>48092</v>
      </c>
      <c r="N329" s="7"/>
      <c r="O329" s="12"/>
      <c r="Q329" s="65"/>
      <c r="W329" s="3"/>
      <c r="X329" s="3"/>
    </row>
    <row r="330" spans="1:24" customFormat="1">
      <c r="A330" s="3"/>
      <c r="B330" s="7"/>
      <c r="C330" s="7">
        <v>69</v>
      </c>
      <c r="D330" s="24">
        <f t="shared" si="41"/>
        <v>0</v>
      </c>
      <c r="E330" s="103">
        <f t="shared" si="44"/>
        <v>0</v>
      </c>
      <c r="F330" s="53"/>
      <c r="G330" s="24">
        <f t="shared" si="42"/>
        <v>0</v>
      </c>
      <c r="H330" s="15"/>
      <c r="I330" s="15"/>
      <c r="J330" s="24">
        <f t="shared" si="43"/>
        <v>0</v>
      </c>
      <c r="K330" s="51">
        <f>IF(L330=1,0,IF(SUM(K$266:K329)&gt;=Construction_Timeline,0,1))</f>
        <v>0</v>
      </c>
      <c r="L330" s="13">
        <f t="shared" si="45"/>
        <v>0</v>
      </c>
      <c r="M330" s="54">
        <f t="shared" si="46"/>
        <v>48122</v>
      </c>
      <c r="N330" s="7"/>
      <c r="O330" s="12"/>
      <c r="Q330" s="65"/>
      <c r="W330" s="3"/>
      <c r="X330" s="3"/>
    </row>
    <row r="331" spans="1:24" customFormat="1">
      <c r="A331" s="3"/>
      <c r="B331" s="7"/>
      <c r="C331" s="7">
        <v>70</v>
      </c>
      <c r="D331" s="24">
        <f t="shared" si="41"/>
        <v>0</v>
      </c>
      <c r="E331" s="103">
        <f t="shared" si="44"/>
        <v>0</v>
      </c>
      <c r="F331" s="53"/>
      <c r="G331" s="24">
        <f t="shared" si="42"/>
        <v>0</v>
      </c>
      <c r="H331" s="15"/>
      <c r="I331" s="15"/>
      <c r="J331" s="24">
        <f t="shared" si="43"/>
        <v>0</v>
      </c>
      <c r="K331" s="51">
        <f>IF(L331=1,0,IF(SUM(K$266:K330)&gt;=Construction_Timeline,0,1))</f>
        <v>0</v>
      </c>
      <c r="L331" s="13">
        <f t="shared" si="45"/>
        <v>0</v>
      </c>
      <c r="M331" s="54">
        <f t="shared" si="46"/>
        <v>48153</v>
      </c>
      <c r="N331" s="7"/>
      <c r="O331" s="12"/>
      <c r="Q331" s="65"/>
      <c r="W331" s="3"/>
      <c r="X331" s="3"/>
    </row>
    <row r="332" spans="1:24" customFormat="1">
      <c r="A332" s="3"/>
      <c r="B332" s="7"/>
      <c r="C332" s="7">
        <v>71</v>
      </c>
      <c r="D332" s="24">
        <f t="shared" si="41"/>
        <v>0</v>
      </c>
      <c r="E332" s="103">
        <f t="shared" si="44"/>
        <v>0</v>
      </c>
      <c r="F332" s="53"/>
      <c r="G332" s="24">
        <f t="shared" si="42"/>
        <v>0</v>
      </c>
      <c r="H332" s="15"/>
      <c r="I332" s="15"/>
      <c r="J332" s="24">
        <f t="shared" si="43"/>
        <v>0</v>
      </c>
      <c r="K332" s="51">
        <f>IF(L332=1,0,IF(SUM(K$266:K331)&gt;=Construction_Timeline,0,1))</f>
        <v>0</v>
      </c>
      <c r="L332" s="13">
        <f t="shared" si="45"/>
        <v>0</v>
      </c>
      <c r="M332" s="54">
        <f t="shared" si="46"/>
        <v>48183</v>
      </c>
      <c r="N332" s="7"/>
      <c r="O332" s="12"/>
      <c r="Q332" s="65"/>
      <c r="W332" s="3"/>
      <c r="X332" s="3"/>
    </row>
    <row r="333" spans="1:24" customFormat="1">
      <c r="A333" s="3"/>
      <c r="B333" s="7"/>
      <c r="C333" s="7">
        <v>72</v>
      </c>
      <c r="D333" s="24">
        <f t="shared" si="41"/>
        <v>0</v>
      </c>
      <c r="E333" s="103">
        <f t="shared" si="44"/>
        <v>0</v>
      </c>
      <c r="F333" s="53"/>
      <c r="G333" s="24">
        <f t="shared" si="42"/>
        <v>0</v>
      </c>
      <c r="H333" s="15"/>
      <c r="I333" s="15"/>
      <c r="J333" s="24">
        <f t="shared" si="43"/>
        <v>0</v>
      </c>
      <c r="K333" s="51">
        <f>IF(L333=1,0,IF(SUM(K$266:K332)&gt;=Construction_Timeline,0,1))</f>
        <v>0</v>
      </c>
      <c r="L333" s="13">
        <f t="shared" si="45"/>
        <v>0</v>
      </c>
      <c r="M333" s="54">
        <f t="shared" si="46"/>
        <v>48214</v>
      </c>
      <c r="N333" s="7"/>
      <c r="O333" s="12"/>
      <c r="Q333" s="65"/>
      <c r="W333" s="3"/>
      <c r="X333" s="3"/>
    </row>
    <row r="334" spans="1:24" customFormat="1">
      <c r="A334" s="3"/>
      <c r="B334" s="7"/>
      <c r="C334" s="7">
        <v>73</v>
      </c>
      <c r="D334" s="24">
        <f t="shared" si="41"/>
        <v>0</v>
      </c>
      <c r="E334" s="103">
        <f t="shared" si="44"/>
        <v>0</v>
      </c>
      <c r="F334" s="53"/>
      <c r="G334" s="24">
        <f t="shared" si="42"/>
        <v>0</v>
      </c>
      <c r="H334" s="15"/>
      <c r="I334" s="15"/>
      <c r="J334" s="24">
        <f t="shared" si="43"/>
        <v>0</v>
      </c>
      <c r="K334" s="51">
        <f>IF(L334=1,0,IF(SUM(K$266:K333)&gt;=Construction_Timeline,0,1))</f>
        <v>0</v>
      </c>
      <c r="L334" s="13">
        <f t="shared" si="45"/>
        <v>0</v>
      </c>
      <c r="M334" s="54">
        <f t="shared" si="46"/>
        <v>48245</v>
      </c>
      <c r="N334" s="7"/>
      <c r="O334" s="12"/>
      <c r="Q334" s="65"/>
      <c r="W334" s="3"/>
      <c r="X334" s="3"/>
    </row>
    <row r="335" spans="1:24" customFormat="1">
      <c r="A335" s="3"/>
      <c r="B335" s="7"/>
      <c r="C335" s="7">
        <v>74</v>
      </c>
      <c r="D335" s="24">
        <f t="shared" si="41"/>
        <v>0</v>
      </c>
      <c r="E335" s="103">
        <f t="shared" si="44"/>
        <v>0</v>
      </c>
      <c r="F335" s="53"/>
      <c r="G335" s="24">
        <f t="shared" si="42"/>
        <v>0</v>
      </c>
      <c r="H335" s="15"/>
      <c r="I335" s="15"/>
      <c r="J335" s="24">
        <f t="shared" si="43"/>
        <v>0</v>
      </c>
      <c r="K335" s="51">
        <f>IF(L335=1,0,IF(SUM(K$266:K334)&gt;=Construction_Timeline,0,1))</f>
        <v>0</v>
      </c>
      <c r="L335" s="13">
        <f t="shared" si="45"/>
        <v>0</v>
      </c>
      <c r="M335" s="54">
        <f t="shared" si="46"/>
        <v>48274</v>
      </c>
      <c r="N335" s="7"/>
      <c r="O335" s="12"/>
      <c r="Q335" s="65"/>
      <c r="W335" s="3"/>
      <c r="X335" s="3"/>
    </row>
    <row r="336" spans="1:24" customFormat="1">
      <c r="A336" s="3"/>
      <c r="B336" s="7"/>
      <c r="C336" s="7">
        <v>75</v>
      </c>
      <c r="D336" s="24">
        <f t="shared" si="41"/>
        <v>0</v>
      </c>
      <c r="E336" s="103">
        <f t="shared" si="44"/>
        <v>0</v>
      </c>
      <c r="F336" s="53"/>
      <c r="G336" s="24">
        <f t="shared" si="42"/>
        <v>0</v>
      </c>
      <c r="H336" s="15"/>
      <c r="I336" s="15"/>
      <c r="J336" s="24">
        <f t="shared" si="43"/>
        <v>0</v>
      </c>
      <c r="K336" s="51">
        <f>IF(L336=1,0,IF(SUM(K$266:K335)&gt;=Construction_Timeline,0,1))</f>
        <v>0</v>
      </c>
      <c r="L336" s="13">
        <f t="shared" si="45"/>
        <v>0</v>
      </c>
      <c r="M336" s="54">
        <f t="shared" si="46"/>
        <v>48305</v>
      </c>
      <c r="N336" s="7"/>
      <c r="O336" s="12"/>
      <c r="Q336" s="65"/>
      <c r="W336" s="3"/>
      <c r="X336" s="3"/>
    </row>
    <row r="337" spans="1:24" customFormat="1">
      <c r="A337" s="3"/>
      <c r="B337" s="7"/>
      <c r="C337" s="7">
        <v>76</v>
      </c>
      <c r="D337" s="24">
        <f t="shared" si="41"/>
        <v>0</v>
      </c>
      <c r="E337" s="103">
        <f t="shared" si="44"/>
        <v>0</v>
      </c>
      <c r="F337" s="53"/>
      <c r="G337" s="24">
        <f t="shared" si="42"/>
        <v>0</v>
      </c>
      <c r="H337" s="15"/>
      <c r="I337" s="15"/>
      <c r="J337" s="24">
        <f t="shared" si="43"/>
        <v>0</v>
      </c>
      <c r="K337" s="51">
        <f>IF(L337=1,0,IF(SUM(K$266:K336)&gt;=Construction_Timeline,0,1))</f>
        <v>0</v>
      </c>
      <c r="L337" s="13">
        <f t="shared" si="45"/>
        <v>0</v>
      </c>
      <c r="M337" s="54">
        <f t="shared" si="46"/>
        <v>48335</v>
      </c>
      <c r="N337" s="7"/>
      <c r="O337" s="12"/>
      <c r="Q337" s="65"/>
      <c r="W337" s="3"/>
      <c r="X337" s="3"/>
    </row>
    <row r="338" spans="1:24" customFormat="1">
      <c r="A338" s="3"/>
      <c r="B338" s="7"/>
      <c r="C338" s="7">
        <v>77</v>
      </c>
      <c r="D338" s="24">
        <f t="shared" si="41"/>
        <v>0</v>
      </c>
      <c r="E338" s="103">
        <f t="shared" si="44"/>
        <v>0</v>
      </c>
      <c r="F338" s="53"/>
      <c r="G338" s="24">
        <f t="shared" si="42"/>
        <v>0</v>
      </c>
      <c r="H338" s="15"/>
      <c r="I338" s="15"/>
      <c r="J338" s="24">
        <f t="shared" si="43"/>
        <v>0</v>
      </c>
      <c r="K338" s="51">
        <f>IF(L338=1,0,IF(SUM(K$266:K337)&gt;=Construction_Timeline,0,1))</f>
        <v>0</v>
      </c>
      <c r="L338" s="13">
        <f t="shared" si="45"/>
        <v>0</v>
      </c>
      <c r="M338" s="54">
        <f t="shared" si="46"/>
        <v>48366</v>
      </c>
      <c r="N338" s="7"/>
      <c r="O338" s="12"/>
      <c r="Q338" s="65"/>
      <c r="W338" s="3"/>
      <c r="X338" s="3"/>
    </row>
    <row r="339" spans="1:24" customFormat="1">
      <c r="A339" s="3"/>
      <c r="B339" s="7"/>
      <c r="C339" s="7">
        <v>78</v>
      </c>
      <c r="D339" s="24">
        <f t="shared" si="41"/>
        <v>0</v>
      </c>
      <c r="E339" s="103">
        <f t="shared" si="44"/>
        <v>0</v>
      </c>
      <c r="F339" s="53"/>
      <c r="G339" s="24">
        <f t="shared" si="42"/>
        <v>0</v>
      </c>
      <c r="H339" s="15"/>
      <c r="I339" s="15"/>
      <c r="J339" s="24">
        <f t="shared" si="43"/>
        <v>0</v>
      </c>
      <c r="K339" s="51">
        <f>IF(L339=1,0,IF(SUM(K$266:K338)&gt;=Construction_Timeline,0,1))</f>
        <v>0</v>
      </c>
      <c r="L339" s="13">
        <f t="shared" si="45"/>
        <v>0</v>
      </c>
      <c r="M339" s="54">
        <f t="shared" si="46"/>
        <v>48396</v>
      </c>
      <c r="N339" s="7"/>
      <c r="O339" s="12"/>
      <c r="Q339" s="65"/>
      <c r="W339" s="3"/>
      <c r="X339" s="3"/>
    </row>
    <row r="340" spans="1:24" customFormat="1">
      <c r="A340" s="3"/>
      <c r="B340" s="7"/>
      <c r="C340" s="7">
        <v>79</v>
      </c>
      <c r="D340" s="24">
        <f t="shared" si="41"/>
        <v>0</v>
      </c>
      <c r="E340" s="103">
        <f t="shared" si="44"/>
        <v>0</v>
      </c>
      <c r="F340" s="53"/>
      <c r="G340" s="24">
        <f t="shared" si="42"/>
        <v>0</v>
      </c>
      <c r="H340" s="15"/>
      <c r="I340" s="15"/>
      <c r="J340" s="24">
        <f t="shared" si="43"/>
        <v>0</v>
      </c>
      <c r="K340" s="51">
        <f>IF(L340=1,0,IF(SUM(K$266:K339)&gt;=Construction_Timeline,0,1))</f>
        <v>0</v>
      </c>
      <c r="L340" s="13">
        <f t="shared" si="45"/>
        <v>0</v>
      </c>
      <c r="M340" s="54">
        <f t="shared" si="46"/>
        <v>48427</v>
      </c>
      <c r="N340" s="7"/>
      <c r="O340" s="12"/>
      <c r="Q340" s="65"/>
      <c r="W340" s="3"/>
      <c r="X340" s="3"/>
    </row>
    <row r="341" spans="1:24" customFormat="1">
      <c r="A341" s="3"/>
      <c r="B341" s="7"/>
      <c r="C341" s="7">
        <v>80</v>
      </c>
      <c r="D341" s="24">
        <f t="shared" si="41"/>
        <v>0</v>
      </c>
      <c r="E341" s="103">
        <f t="shared" si="44"/>
        <v>0</v>
      </c>
      <c r="F341" s="53"/>
      <c r="G341" s="24">
        <f t="shared" si="42"/>
        <v>0</v>
      </c>
      <c r="H341" s="15"/>
      <c r="I341" s="15"/>
      <c r="J341" s="24">
        <f t="shared" si="43"/>
        <v>0</v>
      </c>
      <c r="K341" s="51">
        <f>IF(L341=1,0,IF(SUM(K$266:K340)&gt;=Construction_Timeline,0,1))</f>
        <v>0</v>
      </c>
      <c r="L341" s="13">
        <f t="shared" si="45"/>
        <v>0</v>
      </c>
      <c r="M341" s="54">
        <f t="shared" si="46"/>
        <v>48458</v>
      </c>
      <c r="N341" s="7"/>
      <c r="O341" s="12"/>
      <c r="Q341" s="65"/>
      <c r="W341" s="3"/>
      <c r="X341" s="3"/>
    </row>
    <row r="342" spans="1:24" customFormat="1">
      <c r="A342" s="3"/>
      <c r="B342" s="7"/>
      <c r="C342" s="7">
        <v>81</v>
      </c>
      <c r="D342" s="24">
        <f t="shared" si="41"/>
        <v>0</v>
      </c>
      <c r="E342" s="103">
        <f t="shared" si="44"/>
        <v>0</v>
      </c>
      <c r="F342" s="53"/>
      <c r="G342" s="24">
        <f t="shared" si="42"/>
        <v>0</v>
      </c>
      <c r="H342" s="15"/>
      <c r="I342" s="15"/>
      <c r="J342" s="24">
        <f t="shared" si="43"/>
        <v>0</v>
      </c>
      <c r="K342" s="51">
        <f>IF(L342=1,0,IF(SUM(K$266:K341)&gt;=Construction_Timeline,0,1))</f>
        <v>0</v>
      </c>
      <c r="L342" s="13">
        <f t="shared" si="45"/>
        <v>0</v>
      </c>
      <c r="M342" s="54">
        <f t="shared" si="46"/>
        <v>48488</v>
      </c>
      <c r="N342" s="7"/>
      <c r="O342" s="12"/>
      <c r="Q342" s="65"/>
      <c r="W342" s="3"/>
      <c r="X342" s="3"/>
    </row>
    <row r="343" spans="1:24" customFormat="1">
      <c r="A343" s="3"/>
      <c r="B343" s="7"/>
      <c r="C343" s="7">
        <v>82</v>
      </c>
      <c r="D343" s="24">
        <f t="shared" si="41"/>
        <v>0</v>
      </c>
      <c r="E343" s="103">
        <f t="shared" si="44"/>
        <v>0</v>
      </c>
      <c r="F343" s="53"/>
      <c r="G343" s="24">
        <f t="shared" si="42"/>
        <v>0</v>
      </c>
      <c r="H343" s="15"/>
      <c r="I343" s="15"/>
      <c r="J343" s="24">
        <f t="shared" si="43"/>
        <v>0</v>
      </c>
      <c r="K343" s="51">
        <f>IF(L343=1,0,IF(SUM(K$266:K342)&gt;=Construction_Timeline,0,1))</f>
        <v>0</v>
      </c>
      <c r="L343" s="13">
        <f t="shared" si="45"/>
        <v>0</v>
      </c>
      <c r="M343" s="54">
        <f t="shared" si="46"/>
        <v>48519</v>
      </c>
      <c r="N343" s="7"/>
      <c r="O343" s="12"/>
      <c r="Q343" s="65"/>
      <c r="W343" s="3"/>
      <c r="X343" s="3"/>
    </row>
    <row r="344" spans="1:24" customFormat="1">
      <c r="A344" s="3"/>
      <c r="B344" s="7"/>
      <c r="C344" s="7">
        <v>83</v>
      </c>
      <c r="D344" s="24">
        <f t="shared" si="41"/>
        <v>0</v>
      </c>
      <c r="E344" s="103">
        <f t="shared" si="44"/>
        <v>0</v>
      </c>
      <c r="F344" s="53"/>
      <c r="G344" s="24">
        <f t="shared" si="42"/>
        <v>0</v>
      </c>
      <c r="H344" s="15"/>
      <c r="I344" s="15"/>
      <c r="J344" s="24">
        <f t="shared" si="43"/>
        <v>0</v>
      </c>
      <c r="K344" s="51">
        <f>IF(L344=1,0,IF(SUM(K$266:K343)&gt;=Construction_Timeline,0,1))</f>
        <v>0</v>
      </c>
      <c r="L344" s="13">
        <f t="shared" si="45"/>
        <v>0</v>
      </c>
      <c r="M344" s="54">
        <f t="shared" si="46"/>
        <v>48549</v>
      </c>
      <c r="N344" s="7"/>
      <c r="O344" s="12"/>
      <c r="Q344" s="65"/>
      <c r="W344" s="3"/>
      <c r="X344" s="3"/>
    </row>
    <row r="345" spans="1:24" customFormat="1">
      <c r="A345" s="3"/>
      <c r="B345" s="7"/>
      <c r="C345" s="7">
        <v>84</v>
      </c>
      <c r="D345" s="24">
        <f t="shared" si="41"/>
        <v>0</v>
      </c>
      <c r="E345" s="103">
        <f t="shared" si="44"/>
        <v>0</v>
      </c>
      <c r="F345" s="53"/>
      <c r="G345" s="24">
        <f t="shared" si="42"/>
        <v>0</v>
      </c>
      <c r="H345" s="15"/>
      <c r="I345" s="15"/>
      <c r="J345" s="24">
        <f t="shared" si="43"/>
        <v>0</v>
      </c>
      <c r="K345" s="51">
        <f>IF(L345=1,0,IF(SUM(K$266:K344)&gt;=Construction_Timeline,0,1))</f>
        <v>0</v>
      </c>
      <c r="L345" s="13">
        <f t="shared" si="45"/>
        <v>0</v>
      </c>
      <c r="M345" s="54">
        <f t="shared" si="46"/>
        <v>48580</v>
      </c>
      <c r="N345" s="7"/>
      <c r="O345" s="12"/>
      <c r="Q345" s="65"/>
      <c r="W345" s="3"/>
      <c r="X345" s="3"/>
    </row>
    <row r="346" spans="1:24" customFormat="1">
      <c r="A346" s="3"/>
      <c r="B346" s="7"/>
      <c r="C346" s="7">
        <v>85</v>
      </c>
      <c r="D346" s="24">
        <f t="shared" si="41"/>
        <v>0</v>
      </c>
      <c r="E346" s="103">
        <f t="shared" si="44"/>
        <v>0</v>
      </c>
      <c r="F346" s="53"/>
      <c r="G346" s="24">
        <f t="shared" si="42"/>
        <v>0</v>
      </c>
      <c r="H346" s="15"/>
      <c r="I346" s="15"/>
      <c r="J346" s="24">
        <f t="shared" si="43"/>
        <v>0</v>
      </c>
      <c r="K346" s="51">
        <f>IF(L346=1,0,IF(SUM(K$266:K345)&gt;=Construction_Timeline,0,1))</f>
        <v>0</v>
      </c>
      <c r="L346" s="13">
        <f t="shared" si="45"/>
        <v>0</v>
      </c>
      <c r="M346" s="54">
        <f t="shared" si="46"/>
        <v>48611</v>
      </c>
      <c r="N346" s="7"/>
      <c r="O346" s="12"/>
      <c r="Q346" s="65"/>
      <c r="W346" s="3"/>
      <c r="X346" s="3"/>
    </row>
    <row r="347" spans="1:24" customFormat="1">
      <c r="A347" s="3"/>
      <c r="B347" s="7"/>
      <c r="C347" s="7">
        <v>86</v>
      </c>
      <c r="D347" s="24">
        <f t="shared" si="41"/>
        <v>0</v>
      </c>
      <c r="E347" s="103">
        <f t="shared" si="44"/>
        <v>0</v>
      </c>
      <c r="F347" s="53"/>
      <c r="G347" s="24">
        <f t="shared" si="42"/>
        <v>0</v>
      </c>
      <c r="H347" s="15"/>
      <c r="I347" s="15"/>
      <c r="J347" s="24">
        <f t="shared" si="43"/>
        <v>0</v>
      </c>
      <c r="K347" s="51">
        <f>IF(L347=1,0,IF(SUM(K$266:K346)&gt;=Construction_Timeline,0,1))</f>
        <v>0</v>
      </c>
      <c r="L347" s="13">
        <f t="shared" si="45"/>
        <v>0</v>
      </c>
      <c r="M347" s="54">
        <f t="shared" si="46"/>
        <v>48639</v>
      </c>
      <c r="N347" s="7"/>
      <c r="O347" s="12"/>
      <c r="Q347" s="65"/>
      <c r="W347" s="3"/>
      <c r="X347" s="3"/>
    </row>
    <row r="348" spans="1:24" customFormat="1">
      <c r="A348" s="3"/>
      <c r="B348" s="7"/>
      <c r="C348" s="7">
        <v>87</v>
      </c>
      <c r="D348" s="24">
        <f t="shared" si="41"/>
        <v>0</v>
      </c>
      <c r="E348" s="103">
        <f t="shared" si="44"/>
        <v>0</v>
      </c>
      <c r="F348" s="53"/>
      <c r="G348" s="24">
        <f t="shared" si="42"/>
        <v>0</v>
      </c>
      <c r="H348" s="15"/>
      <c r="I348" s="15"/>
      <c r="J348" s="24">
        <f t="shared" si="43"/>
        <v>0</v>
      </c>
      <c r="K348" s="51">
        <f>IF(L348=1,0,IF(SUM(K$266:K347)&gt;=Construction_Timeline,0,1))</f>
        <v>0</v>
      </c>
      <c r="L348" s="13">
        <f t="shared" si="45"/>
        <v>0</v>
      </c>
      <c r="M348" s="54">
        <f t="shared" si="46"/>
        <v>48670</v>
      </c>
      <c r="N348" s="7"/>
      <c r="O348" s="12"/>
      <c r="Q348" s="65"/>
      <c r="W348" s="3"/>
      <c r="X348" s="3"/>
    </row>
    <row r="349" spans="1:24" customFormat="1">
      <c r="A349" s="3"/>
      <c r="B349" s="7"/>
      <c r="C349" s="7">
        <v>88</v>
      </c>
      <c r="D349" s="24">
        <f t="shared" si="41"/>
        <v>0</v>
      </c>
      <c r="E349" s="103">
        <f t="shared" si="44"/>
        <v>0</v>
      </c>
      <c r="F349" s="53"/>
      <c r="G349" s="24">
        <f t="shared" si="42"/>
        <v>0</v>
      </c>
      <c r="H349" s="15"/>
      <c r="I349" s="15"/>
      <c r="J349" s="24">
        <f t="shared" si="43"/>
        <v>0</v>
      </c>
      <c r="K349" s="51">
        <f>IF(L349=1,0,IF(SUM(K$266:K348)&gt;=Construction_Timeline,0,1))</f>
        <v>0</v>
      </c>
      <c r="L349" s="13">
        <f t="shared" si="45"/>
        <v>0</v>
      </c>
      <c r="M349" s="54">
        <f t="shared" si="46"/>
        <v>48700</v>
      </c>
      <c r="N349" s="7"/>
      <c r="O349" s="12"/>
      <c r="Q349" s="65"/>
      <c r="W349" s="3"/>
      <c r="X349" s="3"/>
    </row>
    <row r="350" spans="1:24" customFormat="1">
      <c r="A350" s="3"/>
      <c r="B350" s="7"/>
      <c r="C350" s="7">
        <v>89</v>
      </c>
      <c r="D350" s="24">
        <f t="shared" si="41"/>
        <v>0</v>
      </c>
      <c r="E350" s="103">
        <f t="shared" si="44"/>
        <v>0</v>
      </c>
      <c r="F350" s="53"/>
      <c r="G350" s="24">
        <f t="shared" si="42"/>
        <v>0</v>
      </c>
      <c r="H350" s="15"/>
      <c r="I350" s="15"/>
      <c r="J350" s="24">
        <f t="shared" si="43"/>
        <v>0</v>
      </c>
      <c r="K350" s="51">
        <f>IF(L350=1,0,IF(SUM(K$266:K349)&gt;=Construction_Timeline,0,1))</f>
        <v>0</v>
      </c>
      <c r="L350" s="13">
        <f t="shared" si="45"/>
        <v>0</v>
      </c>
      <c r="M350" s="54">
        <f t="shared" si="46"/>
        <v>48731</v>
      </c>
      <c r="N350" s="7"/>
      <c r="O350" s="12"/>
      <c r="Q350" s="65"/>
      <c r="W350" s="3"/>
      <c r="X350" s="3"/>
    </row>
    <row r="351" spans="1:24" customFormat="1">
      <c r="A351" s="3"/>
      <c r="B351" s="7"/>
      <c r="C351" s="7">
        <v>90</v>
      </c>
      <c r="D351" s="24">
        <f t="shared" si="41"/>
        <v>0</v>
      </c>
      <c r="E351" s="103">
        <f t="shared" si="44"/>
        <v>0</v>
      </c>
      <c r="F351" s="53"/>
      <c r="G351" s="24">
        <f t="shared" si="42"/>
        <v>0</v>
      </c>
      <c r="H351" s="15"/>
      <c r="I351" s="15"/>
      <c r="J351" s="24">
        <f t="shared" si="43"/>
        <v>0</v>
      </c>
      <c r="K351" s="51">
        <f>IF(L351=1,0,IF(SUM(K$266:K350)&gt;=Construction_Timeline,0,1))</f>
        <v>0</v>
      </c>
      <c r="L351" s="13">
        <f t="shared" si="45"/>
        <v>0</v>
      </c>
      <c r="M351" s="54">
        <f t="shared" si="46"/>
        <v>48761</v>
      </c>
      <c r="N351" s="7"/>
      <c r="O351" s="12"/>
      <c r="Q351" s="65"/>
      <c r="W351" s="3"/>
      <c r="X351" s="3"/>
    </row>
    <row r="352" spans="1:24" customFormat="1">
      <c r="A352" s="3"/>
      <c r="B352" s="7"/>
      <c r="C352" s="7">
        <v>91</v>
      </c>
      <c r="D352" s="24">
        <f t="shared" si="41"/>
        <v>0</v>
      </c>
      <c r="E352" s="103">
        <f t="shared" si="44"/>
        <v>0</v>
      </c>
      <c r="F352" s="53"/>
      <c r="G352" s="24">
        <f t="shared" si="42"/>
        <v>0</v>
      </c>
      <c r="H352" s="15"/>
      <c r="I352" s="15"/>
      <c r="J352" s="24">
        <f t="shared" si="43"/>
        <v>0</v>
      </c>
      <c r="K352" s="51">
        <f>IF(L352=1,0,IF(SUM(K$266:K351)&gt;=Construction_Timeline,0,1))</f>
        <v>0</v>
      </c>
      <c r="L352" s="13">
        <f t="shared" si="45"/>
        <v>0</v>
      </c>
      <c r="M352" s="54">
        <f t="shared" si="46"/>
        <v>48792</v>
      </c>
      <c r="N352" s="7"/>
      <c r="O352" s="12"/>
      <c r="Q352" s="65"/>
      <c r="W352" s="3"/>
      <c r="X352" s="3"/>
    </row>
    <row r="353" spans="1:24" customFormat="1">
      <c r="A353" s="3"/>
      <c r="B353" s="7"/>
      <c r="C353" s="7">
        <v>92</v>
      </c>
      <c r="D353" s="24">
        <f t="shared" si="41"/>
        <v>0</v>
      </c>
      <c r="E353" s="103">
        <f t="shared" si="44"/>
        <v>0</v>
      </c>
      <c r="F353" s="53"/>
      <c r="G353" s="24">
        <f t="shared" si="42"/>
        <v>0</v>
      </c>
      <c r="H353" s="15"/>
      <c r="I353" s="15"/>
      <c r="J353" s="24">
        <f t="shared" si="43"/>
        <v>0</v>
      </c>
      <c r="K353" s="51">
        <f>IF(L353=1,0,IF(SUM(K$266:K352)&gt;=Construction_Timeline,0,1))</f>
        <v>0</v>
      </c>
      <c r="L353" s="13">
        <f t="shared" si="45"/>
        <v>0</v>
      </c>
      <c r="M353" s="54">
        <f t="shared" si="46"/>
        <v>48823</v>
      </c>
      <c r="N353" s="7"/>
      <c r="O353" s="12"/>
      <c r="Q353" s="65"/>
      <c r="W353" s="3"/>
      <c r="X353" s="3"/>
    </row>
    <row r="354" spans="1:24" customFormat="1">
      <c r="A354" s="3"/>
      <c r="B354" s="7"/>
      <c r="C354" s="7">
        <v>93</v>
      </c>
      <c r="D354" s="24">
        <f t="shared" si="41"/>
        <v>0</v>
      </c>
      <c r="E354" s="103">
        <f t="shared" si="44"/>
        <v>0</v>
      </c>
      <c r="F354" s="53"/>
      <c r="G354" s="24">
        <f t="shared" si="42"/>
        <v>0</v>
      </c>
      <c r="H354" s="15"/>
      <c r="I354" s="15"/>
      <c r="J354" s="24">
        <f t="shared" si="43"/>
        <v>0</v>
      </c>
      <c r="K354" s="51">
        <f>IF(L354=1,0,IF(SUM(K$266:K353)&gt;=Construction_Timeline,0,1))</f>
        <v>0</v>
      </c>
      <c r="L354" s="13">
        <f t="shared" si="45"/>
        <v>0</v>
      </c>
      <c r="M354" s="54">
        <f t="shared" si="46"/>
        <v>48853</v>
      </c>
      <c r="N354" s="7"/>
      <c r="O354" s="12"/>
      <c r="Q354" s="65"/>
      <c r="W354" s="3"/>
      <c r="X354" s="3"/>
    </row>
    <row r="355" spans="1:24" customFormat="1">
      <c r="A355" s="3"/>
      <c r="B355" s="7"/>
      <c r="C355" s="7">
        <v>94</v>
      </c>
      <c r="D355" s="24">
        <f t="shared" si="41"/>
        <v>0</v>
      </c>
      <c r="E355" s="103">
        <f t="shared" si="44"/>
        <v>0</v>
      </c>
      <c r="F355" s="53"/>
      <c r="G355" s="24">
        <f t="shared" si="42"/>
        <v>0</v>
      </c>
      <c r="H355" s="15"/>
      <c r="I355" s="15"/>
      <c r="J355" s="24">
        <f t="shared" si="43"/>
        <v>0</v>
      </c>
      <c r="K355" s="51">
        <f>IF(L355=1,0,IF(SUM(K$266:K354)&gt;=Construction_Timeline,0,1))</f>
        <v>0</v>
      </c>
      <c r="L355" s="13">
        <f t="shared" si="45"/>
        <v>0</v>
      </c>
      <c r="M355" s="54">
        <f t="shared" si="46"/>
        <v>48884</v>
      </c>
      <c r="N355" s="7"/>
      <c r="O355" s="12"/>
      <c r="Q355" s="65"/>
      <c r="W355" s="3"/>
      <c r="X355" s="3"/>
    </row>
    <row r="356" spans="1:24" customFormat="1">
      <c r="A356" s="3"/>
      <c r="B356" s="7"/>
      <c r="C356" s="7">
        <v>95</v>
      </c>
      <c r="D356" s="24">
        <f t="shared" si="41"/>
        <v>0</v>
      </c>
      <c r="E356" s="103">
        <f t="shared" si="44"/>
        <v>0</v>
      </c>
      <c r="F356" s="53"/>
      <c r="G356" s="24">
        <f t="shared" si="42"/>
        <v>0</v>
      </c>
      <c r="H356" s="15"/>
      <c r="I356" s="15"/>
      <c r="J356" s="24">
        <f t="shared" si="43"/>
        <v>0</v>
      </c>
      <c r="K356" s="51">
        <f>IF(L356=1,0,IF(SUM(K$266:K355)&gt;=Construction_Timeline,0,1))</f>
        <v>0</v>
      </c>
      <c r="L356" s="13">
        <f t="shared" si="45"/>
        <v>0</v>
      </c>
      <c r="M356" s="54">
        <f t="shared" si="46"/>
        <v>48914</v>
      </c>
      <c r="N356" s="7"/>
      <c r="O356" s="12"/>
      <c r="Q356" s="65"/>
      <c r="W356" s="3"/>
      <c r="X356" s="3"/>
    </row>
    <row r="357" spans="1:24" customFormat="1">
      <c r="A357" s="3"/>
      <c r="B357" s="7"/>
      <c r="C357" s="7">
        <v>96</v>
      </c>
      <c r="D357" s="24">
        <f t="shared" ref="D357:D388" si="47">IF(K357=1,-Construction_Costs/Construction_Timeline,0)</f>
        <v>0</v>
      </c>
      <c r="E357" s="103">
        <f t="shared" si="44"/>
        <v>0</v>
      </c>
      <c r="F357" s="53"/>
      <c r="G357" s="24">
        <f t="shared" ref="G357:G388" si="48">IF(C357=SUM(Month_of_Sale,PreDev_Timeline,Construction_Timeline),Sale_Price*(1-D$64),0)</f>
        <v>0</v>
      </c>
      <c r="H357" s="15"/>
      <c r="I357" s="15"/>
      <c r="J357" s="24">
        <f t="shared" ref="J357:J388" si="49">SUM(D357:G357)</f>
        <v>0</v>
      </c>
      <c r="K357" s="51">
        <f>IF(L357=1,0,IF(SUM(K$266:K356)&gt;=Construction_Timeline,0,1))</f>
        <v>0</v>
      </c>
      <c r="L357" s="13">
        <f t="shared" si="45"/>
        <v>0</v>
      </c>
      <c r="M357" s="54">
        <f t="shared" si="46"/>
        <v>48945</v>
      </c>
      <c r="N357" s="7"/>
      <c r="O357" s="12"/>
      <c r="Q357" s="65"/>
      <c r="W357" s="3"/>
      <c r="X357" s="3"/>
    </row>
    <row r="358" spans="1:24" customFormat="1">
      <c r="A358" s="3"/>
      <c r="B358" s="7"/>
      <c r="C358" s="7">
        <v>97</v>
      </c>
      <c r="D358" s="24">
        <f t="shared" si="47"/>
        <v>0</v>
      </c>
      <c r="E358" s="103">
        <f t="shared" ref="E358:E389" si="50">-Pre_Development_Costs/PreDev_Timeline*L358</f>
        <v>0</v>
      </c>
      <c r="F358" s="53"/>
      <c r="G358" s="24">
        <f t="shared" si="48"/>
        <v>0</v>
      </c>
      <c r="H358" s="15"/>
      <c r="I358" s="15"/>
      <c r="J358" s="24">
        <f t="shared" si="49"/>
        <v>0</v>
      </c>
      <c r="K358" s="51">
        <f>IF(L358=1,0,IF(SUM(K$266:K357)&gt;=Construction_Timeline,0,1))</f>
        <v>0</v>
      </c>
      <c r="L358" s="13">
        <f t="shared" ref="L358:L389" si="51">IF(C358&lt;=PreDev_Timeline,1,0)</f>
        <v>0</v>
      </c>
      <c r="M358" s="54">
        <f t="shared" si="46"/>
        <v>48976</v>
      </c>
      <c r="N358" s="7"/>
      <c r="O358" s="12"/>
      <c r="Q358" s="65"/>
      <c r="W358" s="3"/>
      <c r="X358" s="3"/>
    </row>
    <row r="359" spans="1:24" customFormat="1">
      <c r="A359" s="3"/>
      <c r="B359" s="7"/>
      <c r="C359" s="7">
        <v>98</v>
      </c>
      <c r="D359" s="24">
        <f t="shared" si="47"/>
        <v>0</v>
      </c>
      <c r="E359" s="103">
        <f t="shared" si="50"/>
        <v>0</v>
      </c>
      <c r="F359" s="53"/>
      <c r="G359" s="24">
        <f t="shared" si="48"/>
        <v>0</v>
      </c>
      <c r="H359" s="15"/>
      <c r="I359" s="15"/>
      <c r="J359" s="24">
        <f t="shared" si="49"/>
        <v>0</v>
      </c>
      <c r="K359" s="51">
        <f>IF(L359=1,0,IF(SUM(K$266:K358)&gt;=Construction_Timeline,0,1))</f>
        <v>0</v>
      </c>
      <c r="L359" s="13">
        <f t="shared" si="51"/>
        <v>0</v>
      </c>
      <c r="M359" s="54">
        <f t="shared" si="46"/>
        <v>49004</v>
      </c>
      <c r="N359" s="7"/>
      <c r="O359" s="12"/>
      <c r="Q359" s="65"/>
      <c r="W359" s="3"/>
      <c r="X359" s="3"/>
    </row>
    <row r="360" spans="1:24" customFormat="1">
      <c r="A360" s="3"/>
      <c r="B360" s="7"/>
      <c r="C360" s="7">
        <v>99</v>
      </c>
      <c r="D360" s="24">
        <f t="shared" si="47"/>
        <v>0</v>
      </c>
      <c r="E360" s="103">
        <f t="shared" si="50"/>
        <v>0</v>
      </c>
      <c r="F360" s="53"/>
      <c r="G360" s="24">
        <f t="shared" si="48"/>
        <v>0</v>
      </c>
      <c r="H360" s="15"/>
      <c r="I360" s="15"/>
      <c r="J360" s="24">
        <f t="shared" si="49"/>
        <v>0</v>
      </c>
      <c r="K360" s="51">
        <f>IF(L360=1,0,IF(SUM(K$266:K359)&gt;=Construction_Timeline,0,1))</f>
        <v>0</v>
      </c>
      <c r="L360" s="13">
        <f t="shared" si="51"/>
        <v>0</v>
      </c>
      <c r="M360" s="54">
        <f t="shared" si="46"/>
        <v>49035</v>
      </c>
      <c r="N360" s="7"/>
      <c r="O360" s="12"/>
      <c r="Q360" s="65"/>
      <c r="W360" s="3"/>
      <c r="X360" s="3"/>
    </row>
    <row r="361" spans="1:24" customFormat="1">
      <c r="A361" s="3"/>
      <c r="B361" s="7"/>
      <c r="C361" s="7">
        <v>100</v>
      </c>
      <c r="D361" s="24">
        <f t="shared" si="47"/>
        <v>0</v>
      </c>
      <c r="E361" s="103">
        <f t="shared" si="50"/>
        <v>0</v>
      </c>
      <c r="F361" s="53"/>
      <c r="G361" s="24">
        <f t="shared" si="48"/>
        <v>0</v>
      </c>
      <c r="H361" s="15"/>
      <c r="I361" s="15"/>
      <c r="J361" s="24">
        <f t="shared" si="49"/>
        <v>0</v>
      </c>
      <c r="K361" s="51">
        <f>IF(L361=1,0,IF(SUM(K$266:K360)&gt;=Construction_Timeline,0,1))</f>
        <v>0</v>
      </c>
      <c r="L361" s="13">
        <f t="shared" si="51"/>
        <v>0</v>
      </c>
      <c r="M361" s="54">
        <f t="shared" si="46"/>
        <v>49065</v>
      </c>
      <c r="N361" s="7"/>
      <c r="O361" s="12"/>
      <c r="Q361" s="65"/>
      <c r="W361" s="3"/>
      <c r="X361" s="3"/>
    </row>
    <row r="362" spans="1:24" customFormat="1">
      <c r="A362" s="3"/>
      <c r="B362" s="7"/>
      <c r="C362" s="7">
        <v>101</v>
      </c>
      <c r="D362" s="24">
        <f t="shared" si="47"/>
        <v>0</v>
      </c>
      <c r="E362" s="103">
        <f t="shared" si="50"/>
        <v>0</v>
      </c>
      <c r="F362" s="53"/>
      <c r="G362" s="24">
        <f t="shared" si="48"/>
        <v>0</v>
      </c>
      <c r="H362" s="15"/>
      <c r="I362" s="15"/>
      <c r="J362" s="24">
        <f t="shared" si="49"/>
        <v>0</v>
      </c>
      <c r="K362" s="51">
        <f>IF(L362=1,0,IF(SUM(K$266:K361)&gt;=Construction_Timeline,0,1))</f>
        <v>0</v>
      </c>
      <c r="L362" s="13">
        <f t="shared" si="51"/>
        <v>0</v>
      </c>
      <c r="M362" s="54">
        <f t="shared" si="46"/>
        <v>49096</v>
      </c>
      <c r="N362" s="7"/>
      <c r="O362" s="12"/>
      <c r="Q362" s="65"/>
      <c r="W362" s="3"/>
      <c r="X362" s="3"/>
    </row>
    <row r="363" spans="1:24" customFormat="1">
      <c r="A363" s="3"/>
      <c r="B363" s="7"/>
      <c r="C363" s="7">
        <v>102</v>
      </c>
      <c r="D363" s="24">
        <f t="shared" si="47"/>
        <v>0</v>
      </c>
      <c r="E363" s="103">
        <f t="shared" si="50"/>
        <v>0</v>
      </c>
      <c r="F363" s="53"/>
      <c r="G363" s="24">
        <f t="shared" si="48"/>
        <v>0</v>
      </c>
      <c r="H363" s="15"/>
      <c r="I363" s="15"/>
      <c r="J363" s="24">
        <f t="shared" si="49"/>
        <v>0</v>
      </c>
      <c r="K363" s="51">
        <f>IF(L363=1,0,IF(SUM(K$266:K362)&gt;=Construction_Timeline,0,1))</f>
        <v>0</v>
      </c>
      <c r="L363" s="13">
        <f t="shared" si="51"/>
        <v>0</v>
      </c>
      <c r="M363" s="54">
        <f t="shared" si="46"/>
        <v>49126</v>
      </c>
      <c r="N363" s="7"/>
      <c r="O363" s="12"/>
      <c r="Q363" s="65"/>
      <c r="W363" s="3"/>
      <c r="X363" s="3"/>
    </row>
    <row r="364" spans="1:24" customFormat="1">
      <c r="A364" s="3"/>
      <c r="B364" s="7"/>
      <c r="C364" s="7">
        <v>103</v>
      </c>
      <c r="D364" s="24">
        <f t="shared" si="47"/>
        <v>0</v>
      </c>
      <c r="E364" s="103">
        <f t="shared" si="50"/>
        <v>0</v>
      </c>
      <c r="F364" s="53"/>
      <c r="G364" s="24">
        <f t="shared" si="48"/>
        <v>0</v>
      </c>
      <c r="H364" s="15"/>
      <c r="I364" s="15"/>
      <c r="J364" s="24">
        <f t="shared" si="49"/>
        <v>0</v>
      </c>
      <c r="K364" s="51">
        <f>IF(L364=1,0,IF(SUM(K$266:K363)&gt;=Construction_Timeline,0,1))</f>
        <v>0</v>
      </c>
      <c r="L364" s="13">
        <f t="shared" si="51"/>
        <v>0</v>
      </c>
      <c r="M364" s="54">
        <f t="shared" si="46"/>
        <v>49157</v>
      </c>
      <c r="N364" s="7"/>
      <c r="O364" s="12"/>
      <c r="Q364" s="65"/>
      <c r="W364" s="3"/>
      <c r="X364" s="3"/>
    </row>
    <row r="365" spans="1:24" customFormat="1">
      <c r="A365" s="3"/>
      <c r="B365" s="7"/>
      <c r="C365" s="7">
        <v>104</v>
      </c>
      <c r="D365" s="24">
        <f t="shared" si="47"/>
        <v>0</v>
      </c>
      <c r="E365" s="103">
        <f t="shared" si="50"/>
        <v>0</v>
      </c>
      <c r="F365" s="53"/>
      <c r="G365" s="24">
        <f t="shared" si="48"/>
        <v>0</v>
      </c>
      <c r="H365" s="15"/>
      <c r="I365" s="15"/>
      <c r="J365" s="24">
        <f t="shared" si="49"/>
        <v>0</v>
      </c>
      <c r="K365" s="51">
        <f>IF(L365=1,0,IF(SUM(K$266:K364)&gt;=Construction_Timeline,0,1))</f>
        <v>0</v>
      </c>
      <c r="L365" s="13">
        <f t="shared" si="51"/>
        <v>0</v>
      </c>
      <c r="M365" s="54">
        <f t="shared" si="46"/>
        <v>49188</v>
      </c>
      <c r="N365" s="7"/>
      <c r="O365" s="12"/>
      <c r="Q365" s="65"/>
      <c r="W365" s="3"/>
      <c r="X365" s="3"/>
    </row>
    <row r="366" spans="1:24" customFormat="1">
      <c r="A366" s="3"/>
      <c r="B366" s="7"/>
      <c r="C366" s="7">
        <v>105</v>
      </c>
      <c r="D366" s="24">
        <f t="shared" si="47"/>
        <v>0</v>
      </c>
      <c r="E366" s="103">
        <f t="shared" si="50"/>
        <v>0</v>
      </c>
      <c r="F366" s="53"/>
      <c r="G366" s="24">
        <f t="shared" si="48"/>
        <v>0</v>
      </c>
      <c r="H366" s="15"/>
      <c r="I366" s="15"/>
      <c r="J366" s="24">
        <f t="shared" si="49"/>
        <v>0</v>
      </c>
      <c r="K366" s="51">
        <f>IF(L366=1,0,IF(SUM(K$266:K365)&gt;=Construction_Timeline,0,1))</f>
        <v>0</v>
      </c>
      <c r="L366" s="13">
        <f t="shared" si="51"/>
        <v>0</v>
      </c>
      <c r="M366" s="54">
        <f t="shared" si="46"/>
        <v>49218</v>
      </c>
      <c r="N366" s="7"/>
      <c r="O366" s="12"/>
      <c r="Q366" s="65"/>
      <c r="W366" s="3"/>
      <c r="X366" s="3"/>
    </row>
    <row r="367" spans="1:24" customFormat="1">
      <c r="A367" s="3"/>
      <c r="B367" s="7"/>
      <c r="C367" s="7">
        <v>106</v>
      </c>
      <c r="D367" s="24">
        <f t="shared" si="47"/>
        <v>0</v>
      </c>
      <c r="E367" s="103">
        <f t="shared" si="50"/>
        <v>0</v>
      </c>
      <c r="F367" s="53"/>
      <c r="G367" s="24">
        <f t="shared" si="48"/>
        <v>0</v>
      </c>
      <c r="H367" s="15"/>
      <c r="I367" s="15"/>
      <c r="J367" s="24">
        <f t="shared" si="49"/>
        <v>0</v>
      </c>
      <c r="K367" s="51">
        <f>IF(L367=1,0,IF(SUM(K$266:K366)&gt;=Construction_Timeline,0,1))</f>
        <v>0</v>
      </c>
      <c r="L367" s="13">
        <f t="shared" si="51"/>
        <v>0</v>
      </c>
      <c r="M367" s="54">
        <f t="shared" si="46"/>
        <v>49249</v>
      </c>
      <c r="N367" s="7"/>
      <c r="O367" s="12"/>
      <c r="Q367" s="65"/>
      <c r="W367" s="3"/>
      <c r="X367" s="3"/>
    </row>
    <row r="368" spans="1:24" customFormat="1">
      <c r="A368" s="3"/>
      <c r="B368" s="7"/>
      <c r="C368" s="7">
        <v>107</v>
      </c>
      <c r="D368" s="24">
        <f t="shared" si="47"/>
        <v>0</v>
      </c>
      <c r="E368" s="103">
        <f t="shared" si="50"/>
        <v>0</v>
      </c>
      <c r="F368" s="53"/>
      <c r="G368" s="24">
        <f t="shared" si="48"/>
        <v>0</v>
      </c>
      <c r="H368" s="15"/>
      <c r="I368" s="15"/>
      <c r="J368" s="24">
        <f t="shared" si="49"/>
        <v>0</v>
      </c>
      <c r="K368" s="51">
        <f>IF(L368=1,0,IF(SUM(K$266:K367)&gt;=Construction_Timeline,0,1))</f>
        <v>0</v>
      </c>
      <c r="L368" s="13">
        <f t="shared" si="51"/>
        <v>0</v>
      </c>
      <c r="M368" s="54">
        <f t="shared" si="46"/>
        <v>49279</v>
      </c>
      <c r="N368" s="7"/>
      <c r="O368" s="12"/>
      <c r="Q368" s="65"/>
      <c r="W368" s="3"/>
      <c r="X368" s="3"/>
    </row>
    <row r="369" spans="1:24" customFormat="1">
      <c r="A369" s="3"/>
      <c r="B369" s="7"/>
      <c r="C369" s="7">
        <v>108</v>
      </c>
      <c r="D369" s="24">
        <f t="shared" si="47"/>
        <v>0</v>
      </c>
      <c r="E369" s="103">
        <f t="shared" si="50"/>
        <v>0</v>
      </c>
      <c r="F369" s="53"/>
      <c r="G369" s="24">
        <f t="shared" si="48"/>
        <v>0</v>
      </c>
      <c r="H369" s="15"/>
      <c r="I369" s="15"/>
      <c r="J369" s="24">
        <f t="shared" si="49"/>
        <v>0</v>
      </c>
      <c r="K369" s="51">
        <f>IF(L369=1,0,IF(SUM(K$266:K368)&gt;=Construction_Timeline,0,1))</f>
        <v>0</v>
      </c>
      <c r="L369" s="13">
        <f t="shared" si="51"/>
        <v>0</v>
      </c>
      <c r="M369" s="54">
        <f t="shared" si="46"/>
        <v>49310</v>
      </c>
      <c r="N369" s="7"/>
      <c r="O369" s="12"/>
      <c r="Q369" s="65"/>
      <c r="W369" s="3"/>
      <c r="X369" s="3"/>
    </row>
    <row r="370" spans="1:24" customFormat="1">
      <c r="A370" s="3"/>
      <c r="B370" s="7"/>
      <c r="C370" s="7">
        <v>109</v>
      </c>
      <c r="D370" s="24">
        <f t="shared" si="47"/>
        <v>0</v>
      </c>
      <c r="E370" s="103">
        <f t="shared" si="50"/>
        <v>0</v>
      </c>
      <c r="F370" s="53"/>
      <c r="G370" s="24">
        <f t="shared" si="48"/>
        <v>0</v>
      </c>
      <c r="H370" s="15"/>
      <c r="I370" s="15"/>
      <c r="J370" s="24">
        <f t="shared" si="49"/>
        <v>0</v>
      </c>
      <c r="K370" s="51">
        <f>IF(L370=1,0,IF(SUM(K$266:K369)&gt;=Construction_Timeline,0,1))</f>
        <v>0</v>
      </c>
      <c r="L370" s="13">
        <f t="shared" si="51"/>
        <v>0</v>
      </c>
      <c r="M370" s="54">
        <f t="shared" si="46"/>
        <v>49341</v>
      </c>
      <c r="N370" s="7"/>
      <c r="O370" s="12"/>
      <c r="Q370" s="65"/>
      <c r="W370" s="3"/>
      <c r="X370" s="3"/>
    </row>
    <row r="371" spans="1:24" customFormat="1">
      <c r="A371" s="3"/>
      <c r="B371" s="7"/>
      <c r="C371" s="7">
        <v>110</v>
      </c>
      <c r="D371" s="24">
        <f t="shared" si="47"/>
        <v>0</v>
      </c>
      <c r="E371" s="103">
        <f t="shared" si="50"/>
        <v>0</v>
      </c>
      <c r="F371" s="53"/>
      <c r="G371" s="24">
        <f t="shared" si="48"/>
        <v>0</v>
      </c>
      <c r="H371" s="15"/>
      <c r="I371" s="15"/>
      <c r="J371" s="24">
        <f t="shared" si="49"/>
        <v>0</v>
      </c>
      <c r="K371" s="51">
        <f>IF(L371=1,0,IF(SUM(K$266:K370)&gt;=Construction_Timeline,0,1))</f>
        <v>0</v>
      </c>
      <c r="L371" s="13">
        <f t="shared" si="51"/>
        <v>0</v>
      </c>
      <c r="M371" s="54">
        <f t="shared" si="46"/>
        <v>49369</v>
      </c>
      <c r="N371" s="7"/>
      <c r="O371" s="12"/>
      <c r="Q371" s="65"/>
      <c r="W371" s="3"/>
      <c r="X371" s="3"/>
    </row>
    <row r="372" spans="1:24" customFormat="1">
      <c r="A372" s="3"/>
      <c r="B372" s="7"/>
      <c r="C372" s="7">
        <v>111</v>
      </c>
      <c r="D372" s="24">
        <f t="shared" si="47"/>
        <v>0</v>
      </c>
      <c r="E372" s="103">
        <f t="shared" si="50"/>
        <v>0</v>
      </c>
      <c r="F372" s="53"/>
      <c r="G372" s="24">
        <f t="shared" si="48"/>
        <v>0</v>
      </c>
      <c r="H372" s="15"/>
      <c r="I372" s="15"/>
      <c r="J372" s="24">
        <f t="shared" si="49"/>
        <v>0</v>
      </c>
      <c r="K372" s="51">
        <f>IF(L372=1,0,IF(SUM(K$266:K371)&gt;=Construction_Timeline,0,1))</f>
        <v>0</v>
      </c>
      <c r="L372" s="13">
        <f t="shared" si="51"/>
        <v>0</v>
      </c>
      <c r="M372" s="54">
        <f t="shared" si="46"/>
        <v>49400</v>
      </c>
      <c r="N372" s="7"/>
      <c r="O372" s="12"/>
      <c r="Q372" s="65"/>
      <c r="W372" s="3"/>
      <c r="X372" s="3"/>
    </row>
    <row r="373" spans="1:24" customFormat="1">
      <c r="A373" s="3"/>
      <c r="B373" s="7"/>
      <c r="C373" s="7">
        <v>112</v>
      </c>
      <c r="D373" s="24">
        <f t="shared" si="47"/>
        <v>0</v>
      </c>
      <c r="E373" s="103">
        <f t="shared" si="50"/>
        <v>0</v>
      </c>
      <c r="F373" s="53"/>
      <c r="G373" s="24">
        <f t="shared" si="48"/>
        <v>0</v>
      </c>
      <c r="H373" s="15"/>
      <c r="I373" s="15"/>
      <c r="J373" s="24">
        <f t="shared" si="49"/>
        <v>0</v>
      </c>
      <c r="K373" s="51">
        <f>IF(L373=1,0,IF(SUM(K$266:K372)&gt;=Construction_Timeline,0,1))</f>
        <v>0</v>
      </c>
      <c r="L373" s="13">
        <f t="shared" si="51"/>
        <v>0</v>
      </c>
      <c r="M373" s="54">
        <f t="shared" si="46"/>
        <v>49430</v>
      </c>
      <c r="N373" s="7"/>
      <c r="O373" s="12"/>
      <c r="Q373" s="65"/>
      <c r="W373" s="3"/>
      <c r="X373" s="3"/>
    </row>
    <row r="374" spans="1:24" customFormat="1">
      <c r="A374" s="3"/>
      <c r="B374" s="7"/>
      <c r="C374" s="7">
        <v>113</v>
      </c>
      <c r="D374" s="24">
        <f t="shared" si="47"/>
        <v>0</v>
      </c>
      <c r="E374" s="103">
        <f t="shared" si="50"/>
        <v>0</v>
      </c>
      <c r="F374" s="53"/>
      <c r="G374" s="24">
        <f t="shared" si="48"/>
        <v>0</v>
      </c>
      <c r="H374" s="15"/>
      <c r="I374" s="15"/>
      <c r="J374" s="24">
        <f t="shared" si="49"/>
        <v>0</v>
      </c>
      <c r="K374" s="51">
        <f>IF(L374=1,0,IF(SUM(K$266:K373)&gt;=Construction_Timeline,0,1))</f>
        <v>0</v>
      </c>
      <c r="L374" s="13">
        <f t="shared" si="51"/>
        <v>0</v>
      </c>
      <c r="M374" s="54">
        <f t="shared" si="46"/>
        <v>49461</v>
      </c>
      <c r="N374" s="7"/>
      <c r="O374" s="12"/>
      <c r="Q374" s="65"/>
      <c r="W374" s="3"/>
      <c r="X374" s="3"/>
    </row>
    <row r="375" spans="1:24" customFormat="1">
      <c r="A375" s="3"/>
      <c r="B375" s="7"/>
      <c r="C375" s="7">
        <v>114</v>
      </c>
      <c r="D375" s="24">
        <f t="shared" si="47"/>
        <v>0</v>
      </c>
      <c r="E375" s="103">
        <f t="shared" si="50"/>
        <v>0</v>
      </c>
      <c r="F375" s="53"/>
      <c r="G375" s="24">
        <f t="shared" si="48"/>
        <v>0</v>
      </c>
      <c r="H375" s="15"/>
      <c r="I375" s="15"/>
      <c r="J375" s="24">
        <f t="shared" si="49"/>
        <v>0</v>
      </c>
      <c r="K375" s="51">
        <f>IF(L375=1,0,IF(SUM(K$266:K374)&gt;=Construction_Timeline,0,1))</f>
        <v>0</v>
      </c>
      <c r="L375" s="13">
        <f t="shared" si="51"/>
        <v>0</v>
      </c>
      <c r="M375" s="54">
        <f t="shared" si="46"/>
        <v>49491</v>
      </c>
      <c r="N375" s="7"/>
      <c r="O375" s="12"/>
      <c r="Q375" s="65"/>
      <c r="W375" s="3"/>
      <c r="X375" s="3"/>
    </row>
    <row r="376" spans="1:24" customFormat="1">
      <c r="A376" s="3"/>
      <c r="B376" s="7"/>
      <c r="C376" s="7">
        <v>115</v>
      </c>
      <c r="D376" s="24">
        <f t="shared" si="47"/>
        <v>0</v>
      </c>
      <c r="E376" s="103">
        <f t="shared" si="50"/>
        <v>0</v>
      </c>
      <c r="F376" s="53"/>
      <c r="G376" s="24">
        <f t="shared" si="48"/>
        <v>0</v>
      </c>
      <c r="H376" s="15"/>
      <c r="I376" s="15"/>
      <c r="J376" s="24">
        <f t="shared" si="49"/>
        <v>0</v>
      </c>
      <c r="K376" s="51">
        <f>IF(L376=1,0,IF(SUM(K$266:K375)&gt;=Construction_Timeline,0,1))</f>
        <v>0</v>
      </c>
      <c r="L376" s="13">
        <f t="shared" si="51"/>
        <v>0</v>
      </c>
      <c r="M376" s="54">
        <f t="shared" si="46"/>
        <v>49522</v>
      </c>
      <c r="N376" s="7"/>
      <c r="O376" s="12"/>
      <c r="Q376" s="65"/>
      <c r="W376" s="3"/>
      <c r="X376" s="3"/>
    </row>
    <row r="377" spans="1:24" customFormat="1">
      <c r="A377" s="3"/>
      <c r="B377" s="7"/>
      <c r="C377" s="7">
        <v>116</v>
      </c>
      <c r="D377" s="24">
        <f t="shared" si="47"/>
        <v>0</v>
      </c>
      <c r="E377" s="103">
        <f t="shared" si="50"/>
        <v>0</v>
      </c>
      <c r="F377" s="53"/>
      <c r="G377" s="24">
        <f t="shared" si="48"/>
        <v>0</v>
      </c>
      <c r="H377" s="15"/>
      <c r="I377" s="15"/>
      <c r="J377" s="24">
        <f t="shared" si="49"/>
        <v>0</v>
      </c>
      <c r="K377" s="51">
        <f>IF(L377=1,0,IF(SUM(K$266:K376)&gt;=Construction_Timeline,0,1))</f>
        <v>0</v>
      </c>
      <c r="L377" s="13">
        <f t="shared" si="51"/>
        <v>0</v>
      </c>
      <c r="M377" s="54">
        <f t="shared" si="46"/>
        <v>49553</v>
      </c>
      <c r="N377" s="7"/>
      <c r="O377" s="12"/>
      <c r="Q377" s="65"/>
      <c r="W377" s="3"/>
      <c r="X377" s="3"/>
    </row>
    <row r="378" spans="1:24" customFormat="1">
      <c r="A378" s="3"/>
      <c r="B378" s="7"/>
      <c r="C378" s="7">
        <v>117</v>
      </c>
      <c r="D378" s="24">
        <f t="shared" si="47"/>
        <v>0</v>
      </c>
      <c r="E378" s="103">
        <f t="shared" si="50"/>
        <v>0</v>
      </c>
      <c r="F378" s="53"/>
      <c r="G378" s="24">
        <f t="shared" si="48"/>
        <v>0</v>
      </c>
      <c r="H378" s="15"/>
      <c r="I378" s="15"/>
      <c r="J378" s="24">
        <f t="shared" si="49"/>
        <v>0</v>
      </c>
      <c r="K378" s="51">
        <f>IF(L378=1,0,IF(SUM(K$266:K377)&gt;=Construction_Timeline,0,1))</f>
        <v>0</v>
      </c>
      <c r="L378" s="13">
        <f t="shared" si="51"/>
        <v>0</v>
      </c>
      <c r="M378" s="54">
        <f t="shared" si="46"/>
        <v>49583</v>
      </c>
      <c r="N378" s="7"/>
      <c r="O378" s="12"/>
      <c r="Q378" s="65"/>
      <c r="W378" s="3"/>
      <c r="X378" s="3"/>
    </row>
    <row r="379" spans="1:24" customFormat="1">
      <c r="A379" s="3"/>
      <c r="B379" s="7"/>
      <c r="C379" s="7">
        <v>118</v>
      </c>
      <c r="D379" s="24">
        <f t="shared" si="47"/>
        <v>0</v>
      </c>
      <c r="E379" s="103">
        <f t="shared" si="50"/>
        <v>0</v>
      </c>
      <c r="F379" s="53"/>
      <c r="G379" s="24">
        <f t="shared" si="48"/>
        <v>0</v>
      </c>
      <c r="H379" s="15"/>
      <c r="I379" s="15"/>
      <c r="J379" s="24">
        <f t="shared" si="49"/>
        <v>0</v>
      </c>
      <c r="K379" s="51">
        <f>IF(L379=1,0,IF(SUM(K$266:K378)&gt;=Construction_Timeline,0,1))</f>
        <v>0</v>
      </c>
      <c r="L379" s="13">
        <f t="shared" si="51"/>
        <v>0</v>
      </c>
      <c r="M379" s="54">
        <f t="shared" si="46"/>
        <v>49614</v>
      </c>
      <c r="N379" s="7"/>
      <c r="O379" s="12"/>
      <c r="Q379" s="65"/>
      <c r="W379" s="3"/>
      <c r="X379" s="3"/>
    </row>
    <row r="380" spans="1:24" customFormat="1">
      <c r="A380" s="3"/>
      <c r="B380" s="7"/>
      <c r="C380" s="7">
        <v>119</v>
      </c>
      <c r="D380" s="24">
        <f t="shared" si="47"/>
        <v>0</v>
      </c>
      <c r="E380" s="103">
        <f t="shared" si="50"/>
        <v>0</v>
      </c>
      <c r="F380" s="53"/>
      <c r="G380" s="24">
        <f t="shared" si="48"/>
        <v>0</v>
      </c>
      <c r="H380" s="15"/>
      <c r="I380" s="15"/>
      <c r="J380" s="24">
        <f t="shared" si="49"/>
        <v>0</v>
      </c>
      <c r="K380" s="51">
        <f>IF(L380=1,0,IF(SUM(K$266:K379)&gt;=Construction_Timeline,0,1))</f>
        <v>0</v>
      </c>
      <c r="L380" s="13">
        <f t="shared" si="51"/>
        <v>0</v>
      </c>
      <c r="M380" s="54">
        <f t="shared" si="46"/>
        <v>49644</v>
      </c>
      <c r="N380" s="7"/>
      <c r="O380" s="12"/>
      <c r="Q380" s="65"/>
      <c r="W380" s="3"/>
      <c r="X380" s="3"/>
    </row>
    <row r="381" spans="1:24" customFormat="1">
      <c r="A381" s="3"/>
      <c r="B381" s="7"/>
      <c r="C381" s="7">
        <v>120</v>
      </c>
      <c r="D381" s="24">
        <f t="shared" si="47"/>
        <v>0</v>
      </c>
      <c r="E381" s="103">
        <f t="shared" si="50"/>
        <v>0</v>
      </c>
      <c r="F381" s="53"/>
      <c r="G381" s="24">
        <f t="shared" si="48"/>
        <v>0</v>
      </c>
      <c r="H381" s="15"/>
      <c r="I381" s="15"/>
      <c r="J381" s="24">
        <f t="shared" si="49"/>
        <v>0</v>
      </c>
      <c r="K381" s="51">
        <f>IF(L381=1,0,IF(SUM(K$266:K380)&gt;=Construction_Timeline,0,1))</f>
        <v>0</v>
      </c>
      <c r="L381" s="13">
        <f t="shared" si="51"/>
        <v>0</v>
      </c>
      <c r="M381" s="54">
        <f t="shared" si="46"/>
        <v>49675</v>
      </c>
      <c r="N381" s="7"/>
      <c r="O381" s="12"/>
      <c r="Q381" s="65"/>
      <c r="W381" s="3"/>
      <c r="X381" s="3"/>
    </row>
    <row r="382" spans="1:24" customFormat="1">
      <c r="A382" s="3"/>
      <c r="B382" s="7"/>
      <c r="C382" s="7">
        <v>121</v>
      </c>
      <c r="D382" s="24">
        <f t="shared" si="47"/>
        <v>0</v>
      </c>
      <c r="E382" s="103">
        <f t="shared" si="50"/>
        <v>0</v>
      </c>
      <c r="F382" s="53"/>
      <c r="G382" s="24">
        <f t="shared" si="48"/>
        <v>0</v>
      </c>
      <c r="H382" s="15"/>
      <c r="I382" s="15"/>
      <c r="J382" s="24">
        <f t="shared" si="49"/>
        <v>0</v>
      </c>
      <c r="K382" s="51">
        <f>IF(L382=1,0,IF(SUM(K$266:K381)&gt;=Construction_Timeline,0,1))</f>
        <v>0</v>
      </c>
      <c r="L382" s="13">
        <f t="shared" si="51"/>
        <v>0</v>
      </c>
      <c r="M382" s="54">
        <f t="shared" si="46"/>
        <v>49706</v>
      </c>
      <c r="N382" s="7"/>
      <c r="O382" s="12"/>
      <c r="Q382" s="65"/>
      <c r="W382" s="3"/>
      <c r="X382" s="3"/>
    </row>
    <row r="383" spans="1:24" customFormat="1">
      <c r="A383" s="3"/>
      <c r="B383" s="7"/>
      <c r="C383" s="7">
        <v>122</v>
      </c>
      <c r="D383" s="24">
        <f t="shared" si="47"/>
        <v>0</v>
      </c>
      <c r="E383" s="103">
        <f t="shared" si="50"/>
        <v>0</v>
      </c>
      <c r="F383" s="53"/>
      <c r="G383" s="24">
        <f t="shared" si="48"/>
        <v>0</v>
      </c>
      <c r="H383" s="15"/>
      <c r="I383" s="15"/>
      <c r="J383" s="24">
        <f t="shared" si="49"/>
        <v>0</v>
      </c>
      <c r="K383" s="51">
        <f>IF(L383=1,0,IF(SUM(K$266:K382)&gt;=Construction_Timeline,0,1))</f>
        <v>0</v>
      </c>
      <c r="L383" s="13">
        <f t="shared" si="51"/>
        <v>0</v>
      </c>
      <c r="M383" s="54">
        <f t="shared" si="46"/>
        <v>49735</v>
      </c>
      <c r="N383" s="7"/>
      <c r="O383" s="12"/>
      <c r="Q383" s="65"/>
      <c r="W383" s="3"/>
      <c r="X383" s="3"/>
    </row>
    <row r="384" spans="1:24" customFormat="1">
      <c r="A384" s="3"/>
      <c r="B384" s="7"/>
      <c r="C384" s="7">
        <v>123</v>
      </c>
      <c r="D384" s="24">
        <f t="shared" si="47"/>
        <v>0</v>
      </c>
      <c r="E384" s="103">
        <f t="shared" si="50"/>
        <v>0</v>
      </c>
      <c r="F384" s="53"/>
      <c r="G384" s="24">
        <f t="shared" si="48"/>
        <v>0</v>
      </c>
      <c r="H384" s="15"/>
      <c r="I384" s="15"/>
      <c r="J384" s="24">
        <f t="shared" si="49"/>
        <v>0</v>
      </c>
      <c r="K384" s="51">
        <f>IF(L384=1,0,IF(SUM(K$266:K383)&gt;=Construction_Timeline,0,1))</f>
        <v>0</v>
      </c>
      <c r="L384" s="13">
        <f t="shared" si="51"/>
        <v>0</v>
      </c>
      <c r="M384" s="54">
        <f t="shared" si="46"/>
        <v>49766</v>
      </c>
      <c r="N384" s="7"/>
      <c r="O384" s="12"/>
      <c r="Q384" s="65"/>
      <c r="W384" s="3"/>
      <c r="X384" s="3"/>
    </row>
    <row r="385" spans="1:24" customFormat="1">
      <c r="A385" s="3"/>
      <c r="B385" s="7"/>
      <c r="C385" s="7">
        <v>124</v>
      </c>
      <c r="D385" s="24">
        <f t="shared" si="47"/>
        <v>0</v>
      </c>
      <c r="E385" s="103">
        <f t="shared" si="50"/>
        <v>0</v>
      </c>
      <c r="F385" s="53"/>
      <c r="G385" s="24">
        <f t="shared" si="48"/>
        <v>0</v>
      </c>
      <c r="H385" s="15"/>
      <c r="I385" s="15"/>
      <c r="J385" s="24">
        <f t="shared" si="49"/>
        <v>0</v>
      </c>
      <c r="K385" s="51">
        <f>IF(L385=1,0,IF(SUM(K$266:K384)&gt;=Construction_Timeline,0,1))</f>
        <v>0</v>
      </c>
      <c r="L385" s="13">
        <f t="shared" si="51"/>
        <v>0</v>
      </c>
      <c r="M385" s="54">
        <f t="shared" si="46"/>
        <v>49796</v>
      </c>
      <c r="N385" s="7"/>
      <c r="O385" s="12"/>
      <c r="Q385" s="65"/>
      <c r="W385" s="3"/>
      <c r="X385" s="3"/>
    </row>
    <row r="386" spans="1:24" customFormat="1">
      <c r="A386" s="3"/>
      <c r="B386" s="7"/>
      <c r="C386" s="7">
        <v>125</v>
      </c>
      <c r="D386" s="24">
        <f t="shared" si="47"/>
        <v>0</v>
      </c>
      <c r="E386" s="103">
        <f t="shared" si="50"/>
        <v>0</v>
      </c>
      <c r="F386" s="53"/>
      <c r="G386" s="24">
        <f t="shared" si="48"/>
        <v>0</v>
      </c>
      <c r="H386" s="15"/>
      <c r="I386" s="15"/>
      <c r="J386" s="24">
        <f t="shared" si="49"/>
        <v>0</v>
      </c>
      <c r="K386" s="51">
        <f>IF(L386=1,0,IF(SUM(K$266:K385)&gt;=Construction_Timeline,0,1))</f>
        <v>0</v>
      </c>
      <c r="L386" s="13">
        <f t="shared" si="51"/>
        <v>0</v>
      </c>
      <c r="M386" s="54">
        <f t="shared" si="46"/>
        <v>49827</v>
      </c>
      <c r="N386" s="7"/>
      <c r="O386" s="12"/>
      <c r="Q386" s="65"/>
      <c r="W386" s="3"/>
      <c r="X386" s="3"/>
    </row>
    <row r="387" spans="1:24" customFormat="1">
      <c r="A387" s="3"/>
      <c r="B387" s="7"/>
      <c r="C387" s="7">
        <v>126</v>
      </c>
      <c r="D387" s="24">
        <f t="shared" si="47"/>
        <v>0</v>
      </c>
      <c r="E387" s="103">
        <f t="shared" si="50"/>
        <v>0</v>
      </c>
      <c r="F387" s="53"/>
      <c r="G387" s="24">
        <f t="shared" si="48"/>
        <v>0</v>
      </c>
      <c r="H387" s="15"/>
      <c r="I387" s="15"/>
      <c r="J387" s="24">
        <f t="shared" si="49"/>
        <v>0</v>
      </c>
      <c r="K387" s="51">
        <f>IF(L387=1,0,IF(SUM(K$266:K386)&gt;=Construction_Timeline,0,1))</f>
        <v>0</v>
      </c>
      <c r="L387" s="13">
        <f t="shared" si="51"/>
        <v>0</v>
      </c>
      <c r="M387" s="54">
        <f t="shared" si="46"/>
        <v>49857</v>
      </c>
      <c r="N387" s="7"/>
      <c r="O387" s="12"/>
      <c r="Q387" s="65"/>
      <c r="W387" s="3"/>
      <c r="X387" s="3"/>
    </row>
    <row r="388" spans="1:24" customFormat="1">
      <c r="A388" s="3"/>
      <c r="B388" s="7"/>
      <c r="C388" s="7">
        <v>127</v>
      </c>
      <c r="D388" s="24">
        <f t="shared" si="47"/>
        <v>0</v>
      </c>
      <c r="E388" s="103">
        <f t="shared" si="50"/>
        <v>0</v>
      </c>
      <c r="F388" s="53"/>
      <c r="G388" s="24">
        <f t="shared" si="48"/>
        <v>0</v>
      </c>
      <c r="H388" s="15"/>
      <c r="I388" s="15"/>
      <c r="J388" s="24">
        <f t="shared" si="49"/>
        <v>0</v>
      </c>
      <c r="K388" s="51">
        <f>IF(L388=1,0,IF(SUM(K$266:K387)&gt;=Construction_Timeline,0,1))</f>
        <v>0</v>
      </c>
      <c r="L388" s="13">
        <f t="shared" si="51"/>
        <v>0</v>
      </c>
      <c r="M388" s="54">
        <f t="shared" si="46"/>
        <v>49888</v>
      </c>
      <c r="N388" s="7"/>
      <c r="O388" s="12"/>
      <c r="Q388" s="65"/>
      <c r="W388" s="3"/>
      <c r="X388" s="3"/>
    </row>
    <row r="389" spans="1:24" customFormat="1">
      <c r="A389" s="3"/>
      <c r="B389" s="7"/>
      <c r="C389" s="7">
        <v>128</v>
      </c>
      <c r="D389" s="24">
        <f t="shared" ref="D389:D420" si="52">IF(K389=1,-Construction_Costs/Construction_Timeline,0)</f>
        <v>0</v>
      </c>
      <c r="E389" s="103">
        <f t="shared" si="50"/>
        <v>0</v>
      </c>
      <c r="F389" s="53"/>
      <c r="G389" s="24">
        <f t="shared" ref="G389:G420" si="53">IF(C389=SUM(Month_of_Sale,PreDev_Timeline,Construction_Timeline),Sale_Price*(1-D$64),0)</f>
        <v>0</v>
      </c>
      <c r="H389" s="15"/>
      <c r="I389" s="15"/>
      <c r="J389" s="24">
        <f t="shared" ref="J389:J420" si="54">SUM(D389:G389)</f>
        <v>0</v>
      </c>
      <c r="K389" s="51">
        <f>IF(L389=1,0,IF(SUM(K$266:K388)&gt;=Construction_Timeline,0,1))</f>
        <v>0</v>
      </c>
      <c r="L389" s="13">
        <f t="shared" si="51"/>
        <v>0</v>
      </c>
      <c r="M389" s="54">
        <f t="shared" si="46"/>
        <v>49919</v>
      </c>
      <c r="N389" s="7"/>
      <c r="O389" s="12"/>
      <c r="Q389" s="65"/>
      <c r="W389" s="3"/>
      <c r="X389" s="3"/>
    </row>
    <row r="390" spans="1:24" customFormat="1">
      <c r="A390" s="3"/>
      <c r="B390" s="7"/>
      <c r="C390" s="7">
        <v>129</v>
      </c>
      <c r="D390" s="24">
        <f t="shared" si="52"/>
        <v>0</v>
      </c>
      <c r="E390" s="103">
        <f t="shared" ref="E390:E421" si="55">-Pre_Development_Costs/PreDev_Timeline*L390</f>
        <v>0</v>
      </c>
      <c r="F390" s="53"/>
      <c r="G390" s="24">
        <f t="shared" si="53"/>
        <v>0</v>
      </c>
      <c r="H390" s="15"/>
      <c r="I390" s="15"/>
      <c r="J390" s="24">
        <f t="shared" si="54"/>
        <v>0</v>
      </c>
      <c r="K390" s="51">
        <f>IF(L390=1,0,IF(SUM(K$266:K389)&gt;=Construction_Timeline,0,1))</f>
        <v>0</v>
      </c>
      <c r="L390" s="13">
        <f t="shared" ref="L390:L421" si="56">IF(C390&lt;=PreDev_Timeline,1,0)</f>
        <v>0</v>
      </c>
      <c r="M390" s="54">
        <f t="shared" si="46"/>
        <v>49949</v>
      </c>
      <c r="N390" s="7"/>
      <c r="O390" s="12"/>
      <c r="Q390" s="65"/>
      <c r="W390" s="3"/>
      <c r="X390" s="3"/>
    </row>
    <row r="391" spans="1:24" customFormat="1">
      <c r="A391" s="3"/>
      <c r="B391" s="7"/>
      <c r="C391" s="7">
        <v>130</v>
      </c>
      <c r="D391" s="24">
        <f t="shared" si="52"/>
        <v>0</v>
      </c>
      <c r="E391" s="103">
        <f t="shared" si="55"/>
        <v>0</v>
      </c>
      <c r="F391" s="53"/>
      <c r="G391" s="24">
        <f t="shared" si="53"/>
        <v>0</v>
      </c>
      <c r="H391" s="15"/>
      <c r="I391" s="15"/>
      <c r="J391" s="24">
        <f t="shared" si="54"/>
        <v>0</v>
      </c>
      <c r="K391" s="51">
        <f>IF(L391=1,0,IF(SUM(K$266:K390)&gt;=Construction_Timeline,0,1))</f>
        <v>0</v>
      </c>
      <c r="L391" s="13">
        <f t="shared" si="56"/>
        <v>0</v>
      </c>
      <c r="M391" s="54">
        <f t="shared" ref="M391:M441" si="57">EDATE(M390,1)</f>
        <v>49980</v>
      </c>
      <c r="N391" s="7"/>
      <c r="O391" s="12"/>
      <c r="Q391" s="65"/>
      <c r="W391" s="3"/>
      <c r="X391" s="3"/>
    </row>
    <row r="392" spans="1:24" customFormat="1">
      <c r="A392" s="3"/>
      <c r="B392" s="7"/>
      <c r="C392" s="7">
        <v>131</v>
      </c>
      <c r="D392" s="24">
        <f t="shared" si="52"/>
        <v>0</v>
      </c>
      <c r="E392" s="103">
        <f t="shared" si="55"/>
        <v>0</v>
      </c>
      <c r="F392" s="53"/>
      <c r="G392" s="24">
        <f t="shared" si="53"/>
        <v>0</v>
      </c>
      <c r="H392" s="15"/>
      <c r="I392" s="15"/>
      <c r="J392" s="24">
        <f t="shared" si="54"/>
        <v>0</v>
      </c>
      <c r="K392" s="51">
        <f>IF(L392=1,0,IF(SUM(K$266:K391)&gt;=Construction_Timeline,0,1))</f>
        <v>0</v>
      </c>
      <c r="L392" s="13">
        <f t="shared" si="56"/>
        <v>0</v>
      </c>
      <c r="M392" s="54">
        <f t="shared" si="57"/>
        <v>50010</v>
      </c>
      <c r="N392" s="7"/>
      <c r="O392" s="12"/>
      <c r="Q392" s="65"/>
      <c r="W392" s="3"/>
      <c r="X392" s="3"/>
    </row>
    <row r="393" spans="1:24" customFormat="1">
      <c r="A393" s="3"/>
      <c r="B393" s="7"/>
      <c r="C393" s="7">
        <v>132</v>
      </c>
      <c r="D393" s="24">
        <f t="shared" si="52"/>
        <v>0</v>
      </c>
      <c r="E393" s="103">
        <f t="shared" si="55"/>
        <v>0</v>
      </c>
      <c r="F393" s="53"/>
      <c r="G393" s="24">
        <f t="shared" si="53"/>
        <v>0</v>
      </c>
      <c r="H393" s="15"/>
      <c r="I393" s="15"/>
      <c r="J393" s="24">
        <f t="shared" si="54"/>
        <v>0</v>
      </c>
      <c r="K393" s="51">
        <f>IF(L393=1,0,IF(SUM(K$266:K392)&gt;=Construction_Timeline,0,1))</f>
        <v>0</v>
      </c>
      <c r="L393" s="13">
        <f t="shared" si="56"/>
        <v>0</v>
      </c>
      <c r="M393" s="54">
        <f t="shared" si="57"/>
        <v>50041</v>
      </c>
      <c r="N393" s="7"/>
      <c r="O393" s="12"/>
      <c r="Q393" s="65"/>
      <c r="W393" s="3"/>
      <c r="X393" s="3"/>
    </row>
    <row r="394" spans="1:24" customFormat="1">
      <c r="A394" s="3"/>
      <c r="B394" s="7"/>
      <c r="C394" s="7">
        <v>133</v>
      </c>
      <c r="D394" s="24">
        <f t="shared" si="52"/>
        <v>0</v>
      </c>
      <c r="E394" s="103">
        <f t="shared" si="55"/>
        <v>0</v>
      </c>
      <c r="F394" s="53"/>
      <c r="G394" s="24">
        <f t="shared" si="53"/>
        <v>0</v>
      </c>
      <c r="H394" s="15"/>
      <c r="I394" s="15"/>
      <c r="J394" s="24">
        <f t="shared" si="54"/>
        <v>0</v>
      </c>
      <c r="K394" s="51">
        <f>IF(L394=1,0,IF(SUM(K$266:K393)&gt;=Construction_Timeline,0,1))</f>
        <v>0</v>
      </c>
      <c r="L394" s="13">
        <f t="shared" si="56"/>
        <v>0</v>
      </c>
      <c r="M394" s="54">
        <f t="shared" si="57"/>
        <v>50072</v>
      </c>
      <c r="N394" s="7"/>
      <c r="O394" s="12"/>
      <c r="Q394" s="65"/>
      <c r="W394" s="3"/>
      <c r="X394" s="3"/>
    </row>
    <row r="395" spans="1:24" customFormat="1">
      <c r="A395" s="3"/>
      <c r="B395" s="7"/>
      <c r="C395" s="7">
        <v>134</v>
      </c>
      <c r="D395" s="24">
        <f t="shared" si="52"/>
        <v>0</v>
      </c>
      <c r="E395" s="103">
        <f t="shared" si="55"/>
        <v>0</v>
      </c>
      <c r="F395" s="53"/>
      <c r="G395" s="24">
        <f t="shared" si="53"/>
        <v>0</v>
      </c>
      <c r="H395" s="15"/>
      <c r="I395" s="15"/>
      <c r="J395" s="24">
        <f t="shared" si="54"/>
        <v>0</v>
      </c>
      <c r="K395" s="51">
        <f>IF(L395=1,0,IF(SUM(K$266:K394)&gt;=Construction_Timeline,0,1))</f>
        <v>0</v>
      </c>
      <c r="L395" s="13">
        <f t="shared" si="56"/>
        <v>0</v>
      </c>
      <c r="M395" s="54">
        <f t="shared" si="57"/>
        <v>50100</v>
      </c>
      <c r="N395" s="7"/>
      <c r="O395" s="12"/>
      <c r="Q395" s="65"/>
      <c r="W395" s="3"/>
      <c r="X395" s="3"/>
    </row>
    <row r="396" spans="1:24" customFormat="1">
      <c r="A396" s="3"/>
      <c r="B396" s="7"/>
      <c r="C396" s="7">
        <v>135</v>
      </c>
      <c r="D396" s="24">
        <f t="shared" si="52"/>
        <v>0</v>
      </c>
      <c r="E396" s="103">
        <f t="shared" si="55"/>
        <v>0</v>
      </c>
      <c r="F396" s="53"/>
      <c r="G396" s="24">
        <f t="shared" si="53"/>
        <v>0</v>
      </c>
      <c r="H396" s="15"/>
      <c r="I396" s="15"/>
      <c r="J396" s="24">
        <f t="shared" si="54"/>
        <v>0</v>
      </c>
      <c r="K396" s="51">
        <f>IF(L396=1,0,IF(SUM(K$266:K395)&gt;=Construction_Timeline,0,1))</f>
        <v>0</v>
      </c>
      <c r="L396" s="13">
        <f t="shared" si="56"/>
        <v>0</v>
      </c>
      <c r="M396" s="54">
        <f t="shared" si="57"/>
        <v>50131</v>
      </c>
      <c r="N396" s="7"/>
      <c r="O396" s="12"/>
      <c r="Q396" s="65"/>
      <c r="W396" s="3"/>
      <c r="X396" s="3"/>
    </row>
    <row r="397" spans="1:24" customFormat="1">
      <c r="A397" s="3"/>
      <c r="B397" s="7"/>
      <c r="C397" s="7">
        <v>136</v>
      </c>
      <c r="D397" s="24">
        <f t="shared" si="52"/>
        <v>0</v>
      </c>
      <c r="E397" s="103">
        <f t="shared" si="55"/>
        <v>0</v>
      </c>
      <c r="F397" s="53"/>
      <c r="G397" s="24">
        <f t="shared" si="53"/>
        <v>0</v>
      </c>
      <c r="H397" s="15"/>
      <c r="I397" s="15"/>
      <c r="J397" s="24">
        <f t="shared" si="54"/>
        <v>0</v>
      </c>
      <c r="K397" s="51">
        <f>IF(L397=1,0,IF(SUM(K$266:K396)&gt;=Construction_Timeline,0,1))</f>
        <v>0</v>
      </c>
      <c r="L397" s="13">
        <f t="shared" si="56"/>
        <v>0</v>
      </c>
      <c r="M397" s="54">
        <f t="shared" si="57"/>
        <v>50161</v>
      </c>
      <c r="N397" s="7"/>
      <c r="O397" s="12"/>
      <c r="Q397" s="65"/>
      <c r="W397" s="3"/>
      <c r="X397" s="3"/>
    </row>
    <row r="398" spans="1:24" customFormat="1">
      <c r="A398" s="3"/>
      <c r="B398" s="7"/>
      <c r="C398" s="7">
        <v>137</v>
      </c>
      <c r="D398" s="24">
        <f t="shared" si="52"/>
        <v>0</v>
      </c>
      <c r="E398" s="103">
        <f t="shared" si="55"/>
        <v>0</v>
      </c>
      <c r="F398" s="53"/>
      <c r="G398" s="24">
        <f t="shared" si="53"/>
        <v>0</v>
      </c>
      <c r="H398" s="15"/>
      <c r="I398" s="15"/>
      <c r="J398" s="24">
        <f t="shared" si="54"/>
        <v>0</v>
      </c>
      <c r="K398" s="51">
        <f>IF(L398=1,0,IF(SUM(K$266:K397)&gt;=Construction_Timeline,0,1))</f>
        <v>0</v>
      </c>
      <c r="L398" s="13">
        <f t="shared" si="56"/>
        <v>0</v>
      </c>
      <c r="M398" s="54">
        <f t="shared" si="57"/>
        <v>50192</v>
      </c>
      <c r="N398" s="7"/>
      <c r="O398" s="12"/>
      <c r="Q398" s="65"/>
      <c r="W398" s="3"/>
      <c r="X398" s="3"/>
    </row>
    <row r="399" spans="1:24" customFormat="1">
      <c r="A399" s="3"/>
      <c r="B399" s="7"/>
      <c r="C399" s="7">
        <v>138</v>
      </c>
      <c r="D399" s="24">
        <f t="shared" si="52"/>
        <v>0</v>
      </c>
      <c r="E399" s="103">
        <f t="shared" si="55"/>
        <v>0</v>
      </c>
      <c r="F399" s="53"/>
      <c r="G399" s="24">
        <f t="shared" si="53"/>
        <v>0</v>
      </c>
      <c r="H399" s="15"/>
      <c r="I399" s="15"/>
      <c r="J399" s="24">
        <f t="shared" si="54"/>
        <v>0</v>
      </c>
      <c r="K399" s="51">
        <f>IF(L399=1,0,IF(SUM(K$266:K398)&gt;=Construction_Timeline,0,1))</f>
        <v>0</v>
      </c>
      <c r="L399" s="13">
        <f t="shared" si="56"/>
        <v>0</v>
      </c>
      <c r="M399" s="54">
        <f t="shared" si="57"/>
        <v>50222</v>
      </c>
      <c r="N399" s="7"/>
      <c r="O399" s="12"/>
      <c r="Q399" s="65"/>
      <c r="W399" s="3"/>
      <c r="X399" s="3"/>
    </row>
    <row r="400" spans="1:24" customFormat="1">
      <c r="A400" s="3"/>
      <c r="B400" s="7"/>
      <c r="C400" s="7">
        <v>139</v>
      </c>
      <c r="D400" s="24">
        <f t="shared" si="52"/>
        <v>0</v>
      </c>
      <c r="E400" s="103">
        <f t="shared" si="55"/>
        <v>0</v>
      </c>
      <c r="F400" s="53"/>
      <c r="G400" s="24">
        <f t="shared" si="53"/>
        <v>0</v>
      </c>
      <c r="H400" s="15"/>
      <c r="I400" s="15"/>
      <c r="J400" s="24">
        <f t="shared" si="54"/>
        <v>0</v>
      </c>
      <c r="K400" s="51">
        <f>IF(L400=1,0,IF(SUM(K$266:K399)&gt;=Construction_Timeline,0,1))</f>
        <v>0</v>
      </c>
      <c r="L400" s="13">
        <f t="shared" si="56"/>
        <v>0</v>
      </c>
      <c r="M400" s="54">
        <f t="shared" si="57"/>
        <v>50253</v>
      </c>
      <c r="N400" s="7"/>
      <c r="O400" s="12"/>
      <c r="Q400" s="65"/>
      <c r="W400" s="3"/>
      <c r="X400" s="3"/>
    </row>
    <row r="401" spans="1:24" customFormat="1">
      <c r="A401" s="3"/>
      <c r="B401" s="7"/>
      <c r="C401" s="7">
        <v>140</v>
      </c>
      <c r="D401" s="24">
        <f t="shared" si="52"/>
        <v>0</v>
      </c>
      <c r="E401" s="103">
        <f t="shared" si="55"/>
        <v>0</v>
      </c>
      <c r="F401" s="53"/>
      <c r="G401" s="24">
        <f t="shared" si="53"/>
        <v>0</v>
      </c>
      <c r="H401" s="15"/>
      <c r="I401" s="15"/>
      <c r="J401" s="24">
        <f t="shared" si="54"/>
        <v>0</v>
      </c>
      <c r="K401" s="51">
        <f>IF(L401=1,0,IF(SUM(K$266:K400)&gt;=Construction_Timeline,0,1))</f>
        <v>0</v>
      </c>
      <c r="L401" s="13">
        <f t="shared" si="56"/>
        <v>0</v>
      </c>
      <c r="M401" s="54">
        <f t="shared" si="57"/>
        <v>50284</v>
      </c>
      <c r="N401" s="7"/>
      <c r="O401" s="12"/>
      <c r="Q401" s="65"/>
      <c r="W401" s="3"/>
      <c r="X401" s="3"/>
    </row>
    <row r="402" spans="1:24" customFormat="1">
      <c r="A402" s="3"/>
      <c r="B402" s="7"/>
      <c r="C402" s="7">
        <v>141</v>
      </c>
      <c r="D402" s="24">
        <f t="shared" si="52"/>
        <v>0</v>
      </c>
      <c r="E402" s="103">
        <f t="shared" si="55"/>
        <v>0</v>
      </c>
      <c r="F402" s="53"/>
      <c r="G402" s="24">
        <f t="shared" si="53"/>
        <v>0</v>
      </c>
      <c r="H402" s="15"/>
      <c r="I402" s="15"/>
      <c r="J402" s="24">
        <f t="shared" si="54"/>
        <v>0</v>
      </c>
      <c r="K402" s="51">
        <f>IF(L402=1,0,IF(SUM(K$266:K401)&gt;=Construction_Timeline,0,1))</f>
        <v>0</v>
      </c>
      <c r="L402" s="13">
        <f t="shared" si="56"/>
        <v>0</v>
      </c>
      <c r="M402" s="54">
        <f t="shared" si="57"/>
        <v>50314</v>
      </c>
      <c r="N402" s="7"/>
      <c r="O402" s="12"/>
      <c r="Q402" s="65"/>
      <c r="W402" s="3"/>
      <c r="X402" s="3"/>
    </row>
    <row r="403" spans="1:24" customFormat="1">
      <c r="A403" s="3"/>
      <c r="B403" s="7"/>
      <c r="C403" s="7">
        <v>142</v>
      </c>
      <c r="D403" s="24">
        <f t="shared" si="52"/>
        <v>0</v>
      </c>
      <c r="E403" s="103">
        <f t="shared" si="55"/>
        <v>0</v>
      </c>
      <c r="F403" s="53"/>
      <c r="G403" s="24">
        <f t="shared" si="53"/>
        <v>0</v>
      </c>
      <c r="H403" s="15"/>
      <c r="I403" s="15"/>
      <c r="J403" s="24">
        <f t="shared" si="54"/>
        <v>0</v>
      </c>
      <c r="K403" s="51">
        <f>IF(L403=1,0,IF(SUM(K$266:K402)&gt;=Construction_Timeline,0,1))</f>
        <v>0</v>
      </c>
      <c r="L403" s="13">
        <f t="shared" si="56"/>
        <v>0</v>
      </c>
      <c r="M403" s="54">
        <f t="shared" si="57"/>
        <v>50345</v>
      </c>
      <c r="N403" s="7"/>
      <c r="O403" s="12"/>
      <c r="Q403" s="65"/>
      <c r="W403" s="3"/>
      <c r="X403" s="3"/>
    </row>
    <row r="404" spans="1:24" customFormat="1">
      <c r="A404" s="3"/>
      <c r="B404" s="7"/>
      <c r="C404" s="7">
        <v>143</v>
      </c>
      <c r="D404" s="24">
        <f t="shared" si="52"/>
        <v>0</v>
      </c>
      <c r="E404" s="103">
        <f t="shared" si="55"/>
        <v>0</v>
      </c>
      <c r="F404" s="53"/>
      <c r="G404" s="24">
        <f t="shared" si="53"/>
        <v>0</v>
      </c>
      <c r="H404" s="15"/>
      <c r="I404" s="15"/>
      <c r="J404" s="24">
        <f t="shared" si="54"/>
        <v>0</v>
      </c>
      <c r="K404" s="51">
        <f>IF(L404=1,0,IF(SUM(K$266:K403)&gt;=Construction_Timeline,0,1))</f>
        <v>0</v>
      </c>
      <c r="L404" s="13">
        <f t="shared" si="56"/>
        <v>0</v>
      </c>
      <c r="M404" s="54">
        <f t="shared" si="57"/>
        <v>50375</v>
      </c>
      <c r="N404" s="7"/>
      <c r="O404" s="12"/>
      <c r="Q404" s="65"/>
      <c r="W404" s="3"/>
      <c r="X404" s="3"/>
    </row>
    <row r="405" spans="1:24" customFormat="1">
      <c r="A405" s="3"/>
      <c r="B405" s="7"/>
      <c r="C405" s="7">
        <v>144</v>
      </c>
      <c r="D405" s="24">
        <f t="shared" si="52"/>
        <v>0</v>
      </c>
      <c r="E405" s="103">
        <f t="shared" si="55"/>
        <v>0</v>
      </c>
      <c r="F405" s="53"/>
      <c r="G405" s="24">
        <f t="shared" si="53"/>
        <v>0</v>
      </c>
      <c r="H405" s="15"/>
      <c r="I405" s="15"/>
      <c r="J405" s="24">
        <f t="shared" si="54"/>
        <v>0</v>
      </c>
      <c r="K405" s="51">
        <f>IF(L405=1,0,IF(SUM(K$266:K404)&gt;=Construction_Timeline,0,1))</f>
        <v>0</v>
      </c>
      <c r="L405" s="13">
        <f t="shared" si="56"/>
        <v>0</v>
      </c>
      <c r="M405" s="54">
        <f t="shared" si="57"/>
        <v>50406</v>
      </c>
      <c r="N405" s="7"/>
      <c r="O405" s="12"/>
      <c r="Q405" s="65"/>
      <c r="W405" s="3"/>
      <c r="X405" s="3"/>
    </row>
    <row r="406" spans="1:24" customFormat="1">
      <c r="A406" s="3"/>
      <c r="B406" s="7"/>
      <c r="C406" s="7">
        <v>145</v>
      </c>
      <c r="D406" s="24">
        <f t="shared" si="52"/>
        <v>0</v>
      </c>
      <c r="E406" s="103">
        <f t="shared" si="55"/>
        <v>0</v>
      </c>
      <c r="F406" s="53"/>
      <c r="G406" s="24">
        <f t="shared" si="53"/>
        <v>0</v>
      </c>
      <c r="H406" s="15"/>
      <c r="I406" s="15"/>
      <c r="J406" s="24">
        <f t="shared" si="54"/>
        <v>0</v>
      </c>
      <c r="K406" s="51">
        <f>IF(L406=1,0,IF(SUM(K$266:K405)&gt;=Construction_Timeline,0,1))</f>
        <v>0</v>
      </c>
      <c r="L406" s="13">
        <f t="shared" si="56"/>
        <v>0</v>
      </c>
      <c r="M406" s="54">
        <f t="shared" si="57"/>
        <v>50437</v>
      </c>
      <c r="N406" s="7"/>
      <c r="O406" s="12"/>
      <c r="Q406" s="65"/>
      <c r="W406" s="3"/>
      <c r="X406" s="3"/>
    </row>
    <row r="407" spans="1:24" customFormat="1">
      <c r="A407" s="3"/>
      <c r="B407" s="7"/>
      <c r="C407" s="7">
        <v>146</v>
      </c>
      <c r="D407" s="24">
        <f t="shared" si="52"/>
        <v>0</v>
      </c>
      <c r="E407" s="103">
        <f t="shared" si="55"/>
        <v>0</v>
      </c>
      <c r="F407" s="53"/>
      <c r="G407" s="24">
        <f t="shared" si="53"/>
        <v>0</v>
      </c>
      <c r="H407" s="15"/>
      <c r="I407" s="15"/>
      <c r="J407" s="24">
        <f t="shared" si="54"/>
        <v>0</v>
      </c>
      <c r="K407" s="51">
        <f>IF(L407=1,0,IF(SUM(K$266:K406)&gt;=Construction_Timeline,0,1))</f>
        <v>0</v>
      </c>
      <c r="L407" s="13">
        <f t="shared" si="56"/>
        <v>0</v>
      </c>
      <c r="M407" s="54">
        <f t="shared" si="57"/>
        <v>50465</v>
      </c>
      <c r="N407" s="7"/>
      <c r="O407" s="12"/>
      <c r="Q407" s="65"/>
      <c r="W407" s="3"/>
      <c r="X407" s="3"/>
    </row>
    <row r="408" spans="1:24" customFormat="1">
      <c r="A408" s="3"/>
      <c r="B408" s="7"/>
      <c r="C408" s="7">
        <v>147</v>
      </c>
      <c r="D408" s="24">
        <f t="shared" si="52"/>
        <v>0</v>
      </c>
      <c r="E408" s="103">
        <f t="shared" si="55"/>
        <v>0</v>
      </c>
      <c r="F408" s="53"/>
      <c r="G408" s="24">
        <f t="shared" si="53"/>
        <v>0</v>
      </c>
      <c r="H408" s="15"/>
      <c r="I408" s="15"/>
      <c r="J408" s="24">
        <f t="shared" si="54"/>
        <v>0</v>
      </c>
      <c r="K408" s="51">
        <f>IF(L408=1,0,IF(SUM(K$266:K407)&gt;=Construction_Timeline,0,1))</f>
        <v>0</v>
      </c>
      <c r="L408" s="13">
        <f t="shared" si="56"/>
        <v>0</v>
      </c>
      <c r="M408" s="54">
        <f t="shared" si="57"/>
        <v>50496</v>
      </c>
      <c r="N408" s="7"/>
      <c r="O408" s="12"/>
      <c r="Q408" s="65"/>
      <c r="W408" s="3"/>
      <c r="X408" s="3"/>
    </row>
    <row r="409" spans="1:24" customFormat="1">
      <c r="A409" s="3"/>
      <c r="B409" s="7"/>
      <c r="C409" s="7">
        <v>148</v>
      </c>
      <c r="D409" s="24">
        <f t="shared" si="52"/>
        <v>0</v>
      </c>
      <c r="E409" s="103">
        <f t="shared" si="55"/>
        <v>0</v>
      </c>
      <c r="F409" s="53"/>
      <c r="G409" s="24">
        <f t="shared" si="53"/>
        <v>0</v>
      </c>
      <c r="H409" s="15"/>
      <c r="I409" s="15"/>
      <c r="J409" s="24">
        <f t="shared" si="54"/>
        <v>0</v>
      </c>
      <c r="K409" s="51">
        <f>IF(L409=1,0,IF(SUM(K$266:K408)&gt;=Construction_Timeline,0,1))</f>
        <v>0</v>
      </c>
      <c r="L409" s="13">
        <f t="shared" si="56"/>
        <v>0</v>
      </c>
      <c r="M409" s="54">
        <f t="shared" si="57"/>
        <v>50526</v>
      </c>
      <c r="N409" s="7"/>
      <c r="O409" s="12"/>
      <c r="Q409" s="65"/>
      <c r="W409" s="3"/>
      <c r="X409" s="3"/>
    </row>
    <row r="410" spans="1:24" customFormat="1">
      <c r="A410" s="3"/>
      <c r="B410" s="7"/>
      <c r="C410" s="7">
        <v>149</v>
      </c>
      <c r="D410" s="24">
        <f t="shared" si="52"/>
        <v>0</v>
      </c>
      <c r="E410" s="103">
        <f t="shared" si="55"/>
        <v>0</v>
      </c>
      <c r="F410" s="53"/>
      <c r="G410" s="24">
        <f t="shared" si="53"/>
        <v>0</v>
      </c>
      <c r="H410" s="15"/>
      <c r="I410" s="15"/>
      <c r="J410" s="24">
        <f t="shared" si="54"/>
        <v>0</v>
      </c>
      <c r="K410" s="51">
        <f>IF(L410=1,0,IF(SUM(K$266:K409)&gt;=Construction_Timeline,0,1))</f>
        <v>0</v>
      </c>
      <c r="L410" s="13">
        <f t="shared" si="56"/>
        <v>0</v>
      </c>
      <c r="M410" s="54">
        <f t="shared" si="57"/>
        <v>50557</v>
      </c>
      <c r="N410" s="7"/>
      <c r="O410" s="12"/>
      <c r="Q410" s="65"/>
      <c r="W410" s="3"/>
      <c r="X410" s="3"/>
    </row>
    <row r="411" spans="1:24" customFormat="1">
      <c r="A411" s="3"/>
      <c r="B411" s="7"/>
      <c r="C411" s="7">
        <v>150</v>
      </c>
      <c r="D411" s="24">
        <f t="shared" si="52"/>
        <v>0</v>
      </c>
      <c r="E411" s="103">
        <f t="shared" si="55"/>
        <v>0</v>
      </c>
      <c r="F411" s="53"/>
      <c r="G411" s="24">
        <f t="shared" si="53"/>
        <v>0</v>
      </c>
      <c r="H411" s="15"/>
      <c r="I411" s="15"/>
      <c r="J411" s="24">
        <f t="shared" si="54"/>
        <v>0</v>
      </c>
      <c r="K411" s="51">
        <f>IF(L411=1,0,IF(SUM(K$266:K410)&gt;=Construction_Timeline,0,1))</f>
        <v>0</v>
      </c>
      <c r="L411" s="13">
        <f t="shared" si="56"/>
        <v>0</v>
      </c>
      <c r="M411" s="54">
        <f t="shared" si="57"/>
        <v>50587</v>
      </c>
      <c r="N411" s="7"/>
      <c r="O411" s="12"/>
      <c r="Q411" s="65"/>
      <c r="W411" s="3"/>
      <c r="X411" s="3"/>
    </row>
    <row r="412" spans="1:24" customFormat="1">
      <c r="A412" s="3"/>
      <c r="B412" s="7"/>
      <c r="C412" s="7">
        <v>151</v>
      </c>
      <c r="D412" s="24">
        <f t="shared" si="52"/>
        <v>0</v>
      </c>
      <c r="E412" s="103">
        <f t="shared" si="55"/>
        <v>0</v>
      </c>
      <c r="F412" s="53"/>
      <c r="G412" s="24">
        <f t="shared" si="53"/>
        <v>0</v>
      </c>
      <c r="H412" s="15"/>
      <c r="I412" s="15"/>
      <c r="J412" s="24">
        <f t="shared" si="54"/>
        <v>0</v>
      </c>
      <c r="K412" s="51">
        <f>IF(L412=1,0,IF(SUM(K$266:K411)&gt;=Construction_Timeline,0,1))</f>
        <v>0</v>
      </c>
      <c r="L412" s="13">
        <f t="shared" si="56"/>
        <v>0</v>
      </c>
      <c r="M412" s="54">
        <f t="shared" si="57"/>
        <v>50618</v>
      </c>
      <c r="N412" s="7"/>
      <c r="O412" s="12"/>
      <c r="Q412" s="65"/>
      <c r="W412" s="3"/>
      <c r="X412" s="3"/>
    </row>
    <row r="413" spans="1:24" customFormat="1">
      <c r="A413" s="3"/>
      <c r="B413" s="7"/>
      <c r="C413" s="7">
        <v>152</v>
      </c>
      <c r="D413" s="24">
        <f t="shared" si="52"/>
        <v>0</v>
      </c>
      <c r="E413" s="103">
        <f t="shared" si="55"/>
        <v>0</v>
      </c>
      <c r="F413" s="53"/>
      <c r="G413" s="24">
        <f t="shared" si="53"/>
        <v>0</v>
      </c>
      <c r="H413" s="15"/>
      <c r="I413" s="15"/>
      <c r="J413" s="24">
        <f t="shared" si="54"/>
        <v>0</v>
      </c>
      <c r="K413" s="51">
        <f>IF(L413=1,0,IF(SUM(K$266:K412)&gt;=Construction_Timeline,0,1))</f>
        <v>0</v>
      </c>
      <c r="L413" s="13">
        <f t="shared" si="56"/>
        <v>0</v>
      </c>
      <c r="M413" s="54">
        <f t="shared" si="57"/>
        <v>50649</v>
      </c>
      <c r="N413" s="7"/>
      <c r="O413" s="12"/>
      <c r="Q413" s="65"/>
      <c r="W413" s="3"/>
      <c r="X413" s="3"/>
    </row>
    <row r="414" spans="1:24" customFormat="1">
      <c r="A414" s="3"/>
      <c r="B414" s="7"/>
      <c r="C414" s="7">
        <v>153</v>
      </c>
      <c r="D414" s="24">
        <f t="shared" si="52"/>
        <v>0</v>
      </c>
      <c r="E414" s="103">
        <f t="shared" si="55"/>
        <v>0</v>
      </c>
      <c r="F414" s="53"/>
      <c r="G414" s="24">
        <f t="shared" si="53"/>
        <v>0</v>
      </c>
      <c r="H414" s="15"/>
      <c r="I414" s="15"/>
      <c r="J414" s="24">
        <f t="shared" si="54"/>
        <v>0</v>
      </c>
      <c r="K414" s="51">
        <f>IF(L414=1,0,IF(SUM(K$266:K413)&gt;=Construction_Timeline,0,1))</f>
        <v>0</v>
      </c>
      <c r="L414" s="13">
        <f t="shared" si="56"/>
        <v>0</v>
      </c>
      <c r="M414" s="54">
        <f t="shared" si="57"/>
        <v>50679</v>
      </c>
      <c r="N414" s="7"/>
      <c r="O414" s="12"/>
      <c r="Q414" s="65"/>
      <c r="W414" s="3"/>
      <c r="X414" s="3"/>
    </row>
    <row r="415" spans="1:24" customFormat="1">
      <c r="A415" s="3"/>
      <c r="B415" s="7"/>
      <c r="C415" s="7">
        <v>154</v>
      </c>
      <c r="D415" s="24">
        <f t="shared" si="52"/>
        <v>0</v>
      </c>
      <c r="E415" s="103">
        <f t="shared" si="55"/>
        <v>0</v>
      </c>
      <c r="F415" s="53"/>
      <c r="G415" s="24">
        <f t="shared" si="53"/>
        <v>0</v>
      </c>
      <c r="H415" s="15"/>
      <c r="I415" s="15"/>
      <c r="J415" s="24">
        <f t="shared" si="54"/>
        <v>0</v>
      </c>
      <c r="K415" s="51">
        <f>IF(L415=1,0,IF(SUM(K$266:K414)&gt;=Construction_Timeline,0,1))</f>
        <v>0</v>
      </c>
      <c r="L415" s="13">
        <f t="shared" si="56"/>
        <v>0</v>
      </c>
      <c r="M415" s="54">
        <f t="shared" si="57"/>
        <v>50710</v>
      </c>
      <c r="N415" s="7"/>
      <c r="O415" s="12"/>
      <c r="Q415" s="65"/>
      <c r="W415" s="3"/>
      <c r="X415" s="3"/>
    </row>
    <row r="416" spans="1:24" customFormat="1">
      <c r="A416" s="3"/>
      <c r="B416" s="7"/>
      <c r="C416" s="7">
        <v>155</v>
      </c>
      <c r="D416" s="24">
        <f t="shared" si="52"/>
        <v>0</v>
      </c>
      <c r="E416" s="103">
        <f t="shared" si="55"/>
        <v>0</v>
      </c>
      <c r="F416" s="53"/>
      <c r="G416" s="24">
        <f t="shared" si="53"/>
        <v>0</v>
      </c>
      <c r="H416" s="15"/>
      <c r="I416" s="15"/>
      <c r="J416" s="24">
        <f t="shared" si="54"/>
        <v>0</v>
      </c>
      <c r="K416" s="51">
        <f>IF(L416=1,0,IF(SUM(K$266:K415)&gt;=Construction_Timeline,0,1))</f>
        <v>0</v>
      </c>
      <c r="L416" s="13">
        <f t="shared" si="56"/>
        <v>0</v>
      </c>
      <c r="M416" s="54">
        <f t="shared" si="57"/>
        <v>50740</v>
      </c>
      <c r="N416" s="7"/>
      <c r="O416" s="12"/>
      <c r="Q416" s="65"/>
      <c r="W416" s="3"/>
      <c r="X416" s="3"/>
    </row>
    <row r="417" spans="1:24" customFormat="1">
      <c r="A417" s="3"/>
      <c r="B417" s="7"/>
      <c r="C417" s="7">
        <v>156</v>
      </c>
      <c r="D417" s="24">
        <f t="shared" si="52"/>
        <v>0</v>
      </c>
      <c r="E417" s="103">
        <f t="shared" si="55"/>
        <v>0</v>
      </c>
      <c r="F417" s="53"/>
      <c r="G417" s="24">
        <f t="shared" si="53"/>
        <v>0</v>
      </c>
      <c r="H417" s="15"/>
      <c r="I417" s="15"/>
      <c r="J417" s="24">
        <f t="shared" si="54"/>
        <v>0</v>
      </c>
      <c r="K417" s="51">
        <f>IF(L417=1,0,IF(SUM(K$266:K416)&gt;=Construction_Timeline,0,1))</f>
        <v>0</v>
      </c>
      <c r="L417" s="13">
        <f t="shared" si="56"/>
        <v>0</v>
      </c>
      <c r="M417" s="54">
        <f t="shared" si="57"/>
        <v>50771</v>
      </c>
      <c r="N417" s="7"/>
      <c r="O417" s="12"/>
      <c r="Q417" s="65"/>
      <c r="W417" s="3"/>
      <c r="X417" s="3"/>
    </row>
    <row r="418" spans="1:24" customFormat="1">
      <c r="A418" s="3"/>
      <c r="B418" s="7"/>
      <c r="C418" s="7">
        <v>157</v>
      </c>
      <c r="D418" s="24">
        <f t="shared" si="52"/>
        <v>0</v>
      </c>
      <c r="E418" s="103">
        <f t="shared" si="55"/>
        <v>0</v>
      </c>
      <c r="F418" s="53"/>
      <c r="G418" s="24">
        <f t="shared" si="53"/>
        <v>0</v>
      </c>
      <c r="H418" s="15"/>
      <c r="I418" s="15"/>
      <c r="J418" s="24">
        <f t="shared" si="54"/>
        <v>0</v>
      </c>
      <c r="K418" s="51">
        <f>IF(L418=1,0,IF(SUM(K$266:K417)&gt;=Construction_Timeline,0,1))</f>
        <v>0</v>
      </c>
      <c r="L418" s="13">
        <f t="shared" si="56"/>
        <v>0</v>
      </c>
      <c r="M418" s="54">
        <f t="shared" si="57"/>
        <v>50802</v>
      </c>
      <c r="N418" s="7"/>
      <c r="O418" s="12"/>
      <c r="Q418" s="65"/>
      <c r="W418" s="3"/>
      <c r="X418" s="3"/>
    </row>
    <row r="419" spans="1:24" customFormat="1">
      <c r="A419" s="3"/>
      <c r="B419" s="7"/>
      <c r="C419" s="7">
        <v>158</v>
      </c>
      <c r="D419" s="24">
        <f t="shared" si="52"/>
        <v>0</v>
      </c>
      <c r="E419" s="103">
        <f t="shared" si="55"/>
        <v>0</v>
      </c>
      <c r="F419" s="53"/>
      <c r="G419" s="24">
        <f t="shared" si="53"/>
        <v>0</v>
      </c>
      <c r="H419" s="15"/>
      <c r="I419" s="15"/>
      <c r="J419" s="24">
        <f t="shared" si="54"/>
        <v>0</v>
      </c>
      <c r="K419" s="51">
        <f>IF(L419=1,0,IF(SUM(K$266:K418)&gt;=Construction_Timeline,0,1))</f>
        <v>0</v>
      </c>
      <c r="L419" s="13">
        <f t="shared" si="56"/>
        <v>0</v>
      </c>
      <c r="M419" s="54">
        <f t="shared" si="57"/>
        <v>50830</v>
      </c>
      <c r="N419" s="7"/>
      <c r="O419" s="12"/>
      <c r="Q419" s="65"/>
      <c r="W419" s="3"/>
      <c r="X419" s="3"/>
    </row>
    <row r="420" spans="1:24" customFormat="1">
      <c r="A420" s="3"/>
      <c r="B420" s="7"/>
      <c r="C420" s="7">
        <v>159</v>
      </c>
      <c r="D420" s="24">
        <f t="shared" si="52"/>
        <v>0</v>
      </c>
      <c r="E420" s="103">
        <f t="shared" si="55"/>
        <v>0</v>
      </c>
      <c r="F420" s="53"/>
      <c r="G420" s="24">
        <f t="shared" si="53"/>
        <v>0</v>
      </c>
      <c r="H420" s="15"/>
      <c r="I420" s="15"/>
      <c r="J420" s="24">
        <f t="shared" si="54"/>
        <v>0</v>
      </c>
      <c r="K420" s="51">
        <f>IF(L420=1,0,IF(SUM(K$266:K419)&gt;=Construction_Timeline,0,1))</f>
        <v>0</v>
      </c>
      <c r="L420" s="13">
        <f t="shared" si="56"/>
        <v>0</v>
      </c>
      <c r="M420" s="54">
        <f t="shared" si="57"/>
        <v>50861</v>
      </c>
      <c r="N420" s="7"/>
      <c r="O420" s="12"/>
      <c r="Q420" s="65"/>
      <c r="W420" s="3"/>
      <c r="X420" s="3"/>
    </row>
    <row r="421" spans="1:24" customFormat="1">
      <c r="A421" s="3"/>
      <c r="B421" s="7"/>
      <c r="C421" s="7">
        <v>160</v>
      </c>
      <c r="D421" s="24">
        <f t="shared" ref="D421:D441" si="58">IF(K421=1,-Construction_Costs/Construction_Timeline,0)</f>
        <v>0</v>
      </c>
      <c r="E421" s="103">
        <f t="shared" si="55"/>
        <v>0</v>
      </c>
      <c r="F421" s="53"/>
      <c r="G421" s="24">
        <f t="shared" ref="G421:G440" si="59">IF(C421=SUM(Month_of_Sale,PreDev_Timeline,Construction_Timeline),Sale_Price*(1-D$64),0)</f>
        <v>0</v>
      </c>
      <c r="H421" s="15"/>
      <c r="I421" s="15"/>
      <c r="J421" s="24">
        <f t="shared" ref="J421:J440" si="60">SUM(D421:G421)</f>
        <v>0</v>
      </c>
      <c r="K421" s="51">
        <f>IF(L421=1,0,IF(SUM(K$266:K420)&gt;=Construction_Timeline,0,1))</f>
        <v>0</v>
      </c>
      <c r="L421" s="13">
        <f t="shared" si="56"/>
        <v>0</v>
      </c>
      <c r="M421" s="54">
        <f t="shared" si="57"/>
        <v>50891</v>
      </c>
      <c r="N421" s="7"/>
      <c r="O421" s="12"/>
      <c r="Q421" s="65"/>
      <c r="W421" s="3"/>
      <c r="X421" s="3"/>
    </row>
    <row r="422" spans="1:24" customFormat="1">
      <c r="A422" s="3"/>
      <c r="B422" s="7"/>
      <c r="C422" s="7">
        <v>161</v>
      </c>
      <c r="D422" s="24">
        <f t="shared" si="58"/>
        <v>0</v>
      </c>
      <c r="E422" s="103">
        <f t="shared" ref="E422:E441" si="61">-Pre_Development_Costs/PreDev_Timeline*L422</f>
        <v>0</v>
      </c>
      <c r="F422" s="53"/>
      <c r="G422" s="24">
        <f t="shared" si="59"/>
        <v>0</v>
      </c>
      <c r="H422" s="15"/>
      <c r="I422" s="15"/>
      <c r="J422" s="24">
        <f t="shared" si="60"/>
        <v>0</v>
      </c>
      <c r="K422" s="51">
        <f>IF(L422=1,0,IF(SUM(K$266:K421)&gt;=Construction_Timeline,0,1))</f>
        <v>0</v>
      </c>
      <c r="L422" s="13">
        <f t="shared" ref="L422:L440" si="62">IF(C422&lt;=PreDev_Timeline,1,0)</f>
        <v>0</v>
      </c>
      <c r="M422" s="54">
        <f t="shared" si="57"/>
        <v>50922</v>
      </c>
      <c r="N422" s="7"/>
      <c r="O422" s="12"/>
      <c r="Q422" s="65"/>
      <c r="W422" s="3"/>
      <c r="X422" s="3"/>
    </row>
    <row r="423" spans="1:24" customFormat="1">
      <c r="A423" s="3"/>
      <c r="B423" s="7"/>
      <c r="C423" s="7">
        <v>162</v>
      </c>
      <c r="D423" s="24">
        <f t="shared" si="58"/>
        <v>0</v>
      </c>
      <c r="E423" s="103">
        <f t="shared" si="61"/>
        <v>0</v>
      </c>
      <c r="F423" s="53"/>
      <c r="G423" s="24">
        <f t="shared" si="59"/>
        <v>0</v>
      </c>
      <c r="H423" s="15"/>
      <c r="I423" s="15"/>
      <c r="J423" s="24">
        <f t="shared" si="60"/>
        <v>0</v>
      </c>
      <c r="K423" s="51">
        <f>IF(L423=1,0,IF(SUM(K$266:K422)&gt;=Construction_Timeline,0,1))</f>
        <v>0</v>
      </c>
      <c r="L423" s="13">
        <f t="shared" si="62"/>
        <v>0</v>
      </c>
      <c r="M423" s="54">
        <f t="shared" si="57"/>
        <v>50952</v>
      </c>
      <c r="N423" s="7"/>
      <c r="O423" s="12"/>
      <c r="Q423" s="65"/>
      <c r="W423" s="3"/>
      <c r="X423" s="3"/>
    </row>
    <row r="424" spans="1:24" customFormat="1">
      <c r="A424" s="3"/>
      <c r="B424" s="7"/>
      <c r="C424" s="7">
        <v>163</v>
      </c>
      <c r="D424" s="24">
        <f t="shared" si="58"/>
        <v>0</v>
      </c>
      <c r="E424" s="103">
        <f t="shared" si="61"/>
        <v>0</v>
      </c>
      <c r="F424" s="53"/>
      <c r="G424" s="24">
        <f t="shared" si="59"/>
        <v>0</v>
      </c>
      <c r="H424" s="15"/>
      <c r="I424" s="15"/>
      <c r="J424" s="24">
        <f t="shared" si="60"/>
        <v>0</v>
      </c>
      <c r="K424" s="51">
        <f>IF(L424=1,0,IF(SUM(K$266:K423)&gt;=Construction_Timeline,0,1))</f>
        <v>0</v>
      </c>
      <c r="L424" s="13">
        <f t="shared" si="62"/>
        <v>0</v>
      </c>
      <c r="M424" s="54">
        <f t="shared" si="57"/>
        <v>50983</v>
      </c>
      <c r="N424" s="7"/>
      <c r="O424" s="12"/>
      <c r="Q424" s="65"/>
      <c r="W424" s="3"/>
      <c r="X424" s="3"/>
    </row>
    <row r="425" spans="1:24" customFormat="1">
      <c r="A425" s="3"/>
      <c r="B425" s="7"/>
      <c r="C425" s="7">
        <v>164</v>
      </c>
      <c r="D425" s="24">
        <f t="shared" si="58"/>
        <v>0</v>
      </c>
      <c r="E425" s="103">
        <f t="shared" si="61"/>
        <v>0</v>
      </c>
      <c r="F425" s="53"/>
      <c r="G425" s="24">
        <f t="shared" si="59"/>
        <v>0</v>
      </c>
      <c r="H425" s="15"/>
      <c r="I425" s="15"/>
      <c r="J425" s="24">
        <f t="shared" si="60"/>
        <v>0</v>
      </c>
      <c r="K425" s="51">
        <f>IF(L425=1,0,IF(SUM(K$266:K424)&gt;=Construction_Timeline,0,1))</f>
        <v>0</v>
      </c>
      <c r="L425" s="13">
        <f t="shared" si="62"/>
        <v>0</v>
      </c>
      <c r="M425" s="54">
        <f t="shared" si="57"/>
        <v>51014</v>
      </c>
      <c r="N425" s="7"/>
      <c r="O425" s="12"/>
      <c r="Q425" s="65"/>
      <c r="W425" s="3"/>
      <c r="X425" s="3"/>
    </row>
    <row r="426" spans="1:24" customFormat="1">
      <c r="A426" s="3"/>
      <c r="B426" s="7"/>
      <c r="C426" s="7">
        <v>165</v>
      </c>
      <c r="D426" s="24">
        <f t="shared" si="58"/>
        <v>0</v>
      </c>
      <c r="E426" s="103">
        <f t="shared" si="61"/>
        <v>0</v>
      </c>
      <c r="F426" s="53"/>
      <c r="G426" s="24">
        <f t="shared" si="59"/>
        <v>0</v>
      </c>
      <c r="H426" s="15"/>
      <c r="I426" s="15"/>
      <c r="J426" s="24">
        <f t="shared" si="60"/>
        <v>0</v>
      </c>
      <c r="K426" s="51">
        <f>IF(L426=1,0,IF(SUM(K$266:K425)&gt;=Construction_Timeline,0,1))</f>
        <v>0</v>
      </c>
      <c r="L426" s="13">
        <f t="shared" si="62"/>
        <v>0</v>
      </c>
      <c r="M426" s="54">
        <f t="shared" si="57"/>
        <v>51044</v>
      </c>
      <c r="N426" s="7"/>
      <c r="O426" s="12"/>
      <c r="Q426" s="65"/>
      <c r="W426" s="3"/>
      <c r="X426" s="3"/>
    </row>
    <row r="427" spans="1:24" customFormat="1">
      <c r="A427" s="3"/>
      <c r="B427" s="7"/>
      <c r="C427" s="7">
        <v>166</v>
      </c>
      <c r="D427" s="24">
        <f t="shared" si="58"/>
        <v>0</v>
      </c>
      <c r="E427" s="103">
        <f t="shared" si="61"/>
        <v>0</v>
      </c>
      <c r="F427" s="53"/>
      <c r="G427" s="24">
        <f t="shared" si="59"/>
        <v>0</v>
      </c>
      <c r="H427" s="15"/>
      <c r="I427" s="15"/>
      <c r="J427" s="24">
        <f t="shared" si="60"/>
        <v>0</v>
      </c>
      <c r="K427" s="51">
        <f>IF(L427=1,0,IF(SUM(K$266:K426)&gt;=Construction_Timeline,0,1))</f>
        <v>0</v>
      </c>
      <c r="L427" s="13">
        <f t="shared" si="62"/>
        <v>0</v>
      </c>
      <c r="M427" s="54">
        <f t="shared" si="57"/>
        <v>51075</v>
      </c>
      <c r="N427" s="7"/>
      <c r="O427" s="12"/>
      <c r="Q427" s="65"/>
      <c r="W427" s="3"/>
      <c r="X427" s="3"/>
    </row>
    <row r="428" spans="1:24" customFormat="1">
      <c r="A428" s="3"/>
      <c r="B428" s="7"/>
      <c r="C428" s="7">
        <v>167</v>
      </c>
      <c r="D428" s="24">
        <f t="shared" si="58"/>
        <v>0</v>
      </c>
      <c r="E428" s="103">
        <f t="shared" si="61"/>
        <v>0</v>
      </c>
      <c r="F428" s="53"/>
      <c r="G428" s="24">
        <f t="shared" si="59"/>
        <v>0</v>
      </c>
      <c r="H428" s="15"/>
      <c r="I428" s="15"/>
      <c r="J428" s="24">
        <f t="shared" si="60"/>
        <v>0</v>
      </c>
      <c r="K428" s="51">
        <f>IF(L428=1,0,IF(SUM(K$266:K427)&gt;=Construction_Timeline,0,1))</f>
        <v>0</v>
      </c>
      <c r="L428" s="13">
        <f t="shared" si="62"/>
        <v>0</v>
      </c>
      <c r="M428" s="54">
        <f t="shared" si="57"/>
        <v>51105</v>
      </c>
      <c r="N428" s="7"/>
      <c r="O428" s="12"/>
      <c r="Q428" s="65"/>
      <c r="W428" s="3"/>
      <c r="X428" s="3"/>
    </row>
    <row r="429" spans="1:24" customFormat="1">
      <c r="A429" s="3"/>
      <c r="B429" s="7"/>
      <c r="C429" s="7">
        <v>168</v>
      </c>
      <c r="D429" s="24">
        <f t="shared" si="58"/>
        <v>0</v>
      </c>
      <c r="E429" s="103">
        <f t="shared" si="61"/>
        <v>0</v>
      </c>
      <c r="F429" s="53"/>
      <c r="G429" s="24">
        <f t="shared" si="59"/>
        <v>0</v>
      </c>
      <c r="H429" s="15"/>
      <c r="I429" s="15"/>
      <c r="J429" s="24">
        <f t="shared" si="60"/>
        <v>0</v>
      </c>
      <c r="K429" s="51">
        <f>IF(L429=1,0,IF(SUM(K$266:K428)&gt;=Construction_Timeline,0,1))</f>
        <v>0</v>
      </c>
      <c r="L429" s="13">
        <f t="shared" si="62"/>
        <v>0</v>
      </c>
      <c r="M429" s="54">
        <f t="shared" si="57"/>
        <v>51136</v>
      </c>
      <c r="N429" s="7"/>
      <c r="O429" s="12"/>
      <c r="Q429" s="65"/>
      <c r="W429" s="3"/>
      <c r="X429" s="3"/>
    </row>
    <row r="430" spans="1:24" customFormat="1">
      <c r="A430" s="3"/>
      <c r="B430" s="7"/>
      <c r="C430" s="7">
        <v>169</v>
      </c>
      <c r="D430" s="24">
        <f t="shared" si="58"/>
        <v>0</v>
      </c>
      <c r="E430" s="103">
        <f t="shared" si="61"/>
        <v>0</v>
      </c>
      <c r="F430" s="53"/>
      <c r="G430" s="24">
        <f t="shared" si="59"/>
        <v>0</v>
      </c>
      <c r="H430" s="15"/>
      <c r="I430" s="15"/>
      <c r="J430" s="24">
        <f t="shared" si="60"/>
        <v>0</v>
      </c>
      <c r="K430" s="51">
        <f>IF(L430=1,0,IF(SUM(K$266:K429)&gt;=Construction_Timeline,0,1))</f>
        <v>0</v>
      </c>
      <c r="L430" s="13">
        <f t="shared" si="62"/>
        <v>0</v>
      </c>
      <c r="M430" s="54">
        <f t="shared" si="57"/>
        <v>51167</v>
      </c>
      <c r="N430" s="7"/>
      <c r="O430" s="12"/>
      <c r="Q430" s="65"/>
      <c r="W430" s="3"/>
      <c r="X430" s="3"/>
    </row>
    <row r="431" spans="1:24" customFormat="1">
      <c r="A431" s="3"/>
      <c r="B431" s="7"/>
      <c r="C431" s="7">
        <v>170</v>
      </c>
      <c r="D431" s="24">
        <f t="shared" si="58"/>
        <v>0</v>
      </c>
      <c r="E431" s="103">
        <f t="shared" si="61"/>
        <v>0</v>
      </c>
      <c r="F431" s="53"/>
      <c r="G431" s="24">
        <f t="shared" si="59"/>
        <v>0</v>
      </c>
      <c r="H431" s="15"/>
      <c r="I431" s="15"/>
      <c r="J431" s="24">
        <f t="shared" si="60"/>
        <v>0</v>
      </c>
      <c r="K431" s="51">
        <f>IF(L431=1,0,IF(SUM(K$266:K430)&gt;=Construction_Timeline,0,1))</f>
        <v>0</v>
      </c>
      <c r="L431" s="13">
        <f t="shared" si="62"/>
        <v>0</v>
      </c>
      <c r="M431" s="54">
        <f t="shared" si="57"/>
        <v>51196</v>
      </c>
      <c r="N431" s="7"/>
      <c r="O431" s="12"/>
      <c r="Q431" s="65"/>
      <c r="W431" s="3"/>
      <c r="X431" s="3"/>
    </row>
    <row r="432" spans="1:24" customFormat="1">
      <c r="A432" s="3"/>
      <c r="B432" s="7"/>
      <c r="C432" s="7">
        <v>171</v>
      </c>
      <c r="D432" s="24">
        <f t="shared" si="58"/>
        <v>0</v>
      </c>
      <c r="E432" s="103">
        <f t="shared" si="61"/>
        <v>0</v>
      </c>
      <c r="F432" s="53"/>
      <c r="G432" s="24">
        <f t="shared" si="59"/>
        <v>0</v>
      </c>
      <c r="H432" s="15"/>
      <c r="I432" s="15"/>
      <c r="J432" s="24">
        <f t="shared" si="60"/>
        <v>0</v>
      </c>
      <c r="K432" s="51">
        <f>IF(L432=1,0,IF(SUM(K$266:K431)&gt;=Construction_Timeline,0,1))</f>
        <v>0</v>
      </c>
      <c r="L432" s="13">
        <f t="shared" si="62"/>
        <v>0</v>
      </c>
      <c r="M432" s="54">
        <f t="shared" si="57"/>
        <v>51227</v>
      </c>
      <c r="N432" s="7"/>
      <c r="O432" s="12"/>
      <c r="Q432" s="65"/>
      <c r="W432" s="3"/>
      <c r="X432" s="3"/>
    </row>
    <row r="433" spans="1:24" customFormat="1">
      <c r="A433" s="3"/>
      <c r="B433" s="7"/>
      <c r="C433" s="7">
        <v>172</v>
      </c>
      <c r="D433" s="24">
        <f t="shared" si="58"/>
        <v>0</v>
      </c>
      <c r="E433" s="103">
        <f t="shared" si="61"/>
        <v>0</v>
      </c>
      <c r="F433" s="53"/>
      <c r="G433" s="24">
        <f t="shared" si="59"/>
        <v>0</v>
      </c>
      <c r="H433" s="15"/>
      <c r="I433" s="15"/>
      <c r="J433" s="24">
        <f t="shared" si="60"/>
        <v>0</v>
      </c>
      <c r="K433" s="51">
        <f>IF(L433=1,0,IF(SUM(K$266:K432)&gt;=Construction_Timeline,0,1))</f>
        <v>0</v>
      </c>
      <c r="L433" s="13">
        <f t="shared" si="62"/>
        <v>0</v>
      </c>
      <c r="M433" s="54">
        <f t="shared" si="57"/>
        <v>51257</v>
      </c>
      <c r="N433" s="7"/>
      <c r="O433" s="12"/>
      <c r="Q433" s="65"/>
      <c r="W433" s="3"/>
      <c r="X433" s="3"/>
    </row>
    <row r="434" spans="1:24" customFormat="1">
      <c r="A434" s="3"/>
      <c r="B434" s="7"/>
      <c r="C434" s="7">
        <v>173</v>
      </c>
      <c r="D434" s="24">
        <f t="shared" si="58"/>
        <v>0</v>
      </c>
      <c r="E434" s="103">
        <f t="shared" si="61"/>
        <v>0</v>
      </c>
      <c r="F434" s="53"/>
      <c r="G434" s="24">
        <f t="shared" si="59"/>
        <v>0</v>
      </c>
      <c r="H434" s="15"/>
      <c r="I434" s="15"/>
      <c r="J434" s="24">
        <f t="shared" si="60"/>
        <v>0</v>
      </c>
      <c r="K434" s="51">
        <f>IF(L434=1,0,IF(SUM(K$266:K433)&gt;=Construction_Timeline,0,1))</f>
        <v>0</v>
      </c>
      <c r="L434" s="13">
        <f t="shared" si="62"/>
        <v>0</v>
      </c>
      <c r="M434" s="54">
        <f t="shared" si="57"/>
        <v>51288</v>
      </c>
      <c r="N434" s="7"/>
      <c r="O434" s="12"/>
      <c r="Q434" s="65"/>
      <c r="W434" s="3"/>
      <c r="X434" s="3"/>
    </row>
    <row r="435" spans="1:24" customFormat="1">
      <c r="A435" s="3"/>
      <c r="B435" s="7"/>
      <c r="C435" s="7">
        <v>174</v>
      </c>
      <c r="D435" s="24">
        <f t="shared" si="58"/>
        <v>0</v>
      </c>
      <c r="E435" s="103">
        <f t="shared" si="61"/>
        <v>0</v>
      </c>
      <c r="F435" s="53"/>
      <c r="G435" s="24">
        <f t="shared" si="59"/>
        <v>0</v>
      </c>
      <c r="H435" s="15"/>
      <c r="I435" s="15"/>
      <c r="J435" s="24">
        <f t="shared" si="60"/>
        <v>0</v>
      </c>
      <c r="K435" s="51">
        <f>IF(L435=1,0,IF(SUM(K$266:K434)&gt;=Construction_Timeline,0,1))</f>
        <v>0</v>
      </c>
      <c r="L435" s="13">
        <f t="shared" si="62"/>
        <v>0</v>
      </c>
      <c r="M435" s="54">
        <f t="shared" si="57"/>
        <v>51318</v>
      </c>
      <c r="N435" s="7"/>
      <c r="O435" s="12"/>
      <c r="Q435" s="65"/>
      <c r="W435" s="3"/>
      <c r="X435" s="3"/>
    </row>
    <row r="436" spans="1:24" customFormat="1">
      <c r="A436" s="3"/>
      <c r="B436" s="7"/>
      <c r="C436" s="7">
        <v>175</v>
      </c>
      <c r="D436" s="24">
        <f t="shared" si="58"/>
        <v>0</v>
      </c>
      <c r="E436" s="103">
        <f t="shared" si="61"/>
        <v>0</v>
      </c>
      <c r="F436" s="53"/>
      <c r="G436" s="24">
        <f t="shared" si="59"/>
        <v>0</v>
      </c>
      <c r="H436" s="15"/>
      <c r="I436" s="15"/>
      <c r="J436" s="24">
        <f t="shared" si="60"/>
        <v>0</v>
      </c>
      <c r="K436" s="51">
        <f>IF(L436=1,0,IF(SUM(K$266:K435)&gt;=Construction_Timeline,0,1))</f>
        <v>0</v>
      </c>
      <c r="L436" s="13">
        <f t="shared" si="62"/>
        <v>0</v>
      </c>
      <c r="M436" s="54">
        <f t="shared" si="57"/>
        <v>51349</v>
      </c>
      <c r="N436" s="7"/>
      <c r="O436" s="12"/>
      <c r="Q436" s="65"/>
      <c r="W436" s="3"/>
      <c r="X436" s="3"/>
    </row>
    <row r="437" spans="1:24" customFormat="1">
      <c r="A437" s="3"/>
      <c r="B437" s="7"/>
      <c r="C437" s="7">
        <v>176</v>
      </c>
      <c r="D437" s="24">
        <f t="shared" si="58"/>
        <v>0</v>
      </c>
      <c r="E437" s="103">
        <f t="shared" si="61"/>
        <v>0</v>
      </c>
      <c r="F437" s="53"/>
      <c r="G437" s="24">
        <f t="shared" si="59"/>
        <v>0</v>
      </c>
      <c r="H437" s="15"/>
      <c r="I437" s="15"/>
      <c r="J437" s="24">
        <f t="shared" si="60"/>
        <v>0</v>
      </c>
      <c r="K437" s="51">
        <f>IF(L437=1,0,IF(SUM(K$266:K436)&gt;=Construction_Timeline,0,1))</f>
        <v>0</v>
      </c>
      <c r="L437" s="13">
        <f t="shared" si="62"/>
        <v>0</v>
      </c>
      <c r="M437" s="54">
        <f t="shared" si="57"/>
        <v>51380</v>
      </c>
      <c r="N437" s="7"/>
      <c r="O437" s="12"/>
      <c r="Q437" s="65"/>
      <c r="W437" s="3"/>
      <c r="X437" s="3"/>
    </row>
    <row r="438" spans="1:24" customFormat="1">
      <c r="A438" s="3"/>
      <c r="B438" s="7"/>
      <c r="C438" s="7">
        <v>177</v>
      </c>
      <c r="D438" s="24">
        <f t="shared" si="58"/>
        <v>0</v>
      </c>
      <c r="E438" s="103">
        <f t="shared" si="61"/>
        <v>0</v>
      </c>
      <c r="F438" s="53"/>
      <c r="G438" s="24">
        <f t="shared" si="59"/>
        <v>0</v>
      </c>
      <c r="H438" s="15"/>
      <c r="I438" s="15"/>
      <c r="J438" s="24">
        <f t="shared" si="60"/>
        <v>0</v>
      </c>
      <c r="K438" s="51">
        <f>IF(L438=1,0,IF(SUM(K$266:K437)&gt;=Construction_Timeline,0,1))</f>
        <v>0</v>
      </c>
      <c r="L438" s="13">
        <f t="shared" si="62"/>
        <v>0</v>
      </c>
      <c r="M438" s="54">
        <f t="shared" si="57"/>
        <v>51410</v>
      </c>
      <c r="N438" s="7"/>
      <c r="O438" s="12"/>
      <c r="Q438" s="65"/>
      <c r="W438" s="3"/>
      <c r="X438" s="3"/>
    </row>
    <row r="439" spans="1:24" customFormat="1">
      <c r="A439" s="3"/>
      <c r="B439" s="7"/>
      <c r="C439" s="7">
        <v>178</v>
      </c>
      <c r="D439" s="24">
        <f t="shared" si="58"/>
        <v>0</v>
      </c>
      <c r="E439" s="103">
        <f t="shared" si="61"/>
        <v>0</v>
      </c>
      <c r="F439" s="53"/>
      <c r="G439" s="24">
        <f t="shared" si="59"/>
        <v>0</v>
      </c>
      <c r="H439" s="15"/>
      <c r="I439" s="15"/>
      <c r="J439" s="24">
        <f t="shared" si="60"/>
        <v>0</v>
      </c>
      <c r="K439" s="51">
        <f>IF(L439=1,0,IF(SUM(K$266:K438)&gt;=Construction_Timeline,0,1))</f>
        <v>0</v>
      </c>
      <c r="L439" s="13">
        <f t="shared" si="62"/>
        <v>0</v>
      </c>
      <c r="M439" s="54">
        <f t="shared" si="57"/>
        <v>51441</v>
      </c>
      <c r="N439" s="7"/>
      <c r="O439" s="12"/>
      <c r="Q439" s="65"/>
      <c r="W439" s="3"/>
      <c r="X439" s="3"/>
    </row>
    <row r="440" spans="1:24" customFormat="1">
      <c r="A440" s="3"/>
      <c r="B440" s="7"/>
      <c r="C440" s="7">
        <v>179</v>
      </c>
      <c r="D440" s="24">
        <f t="shared" si="58"/>
        <v>0</v>
      </c>
      <c r="E440" s="103">
        <f t="shared" si="61"/>
        <v>0</v>
      </c>
      <c r="F440" s="53"/>
      <c r="G440" s="24">
        <f t="shared" si="59"/>
        <v>0</v>
      </c>
      <c r="H440" s="15"/>
      <c r="I440" s="15"/>
      <c r="J440" s="24">
        <f t="shared" si="60"/>
        <v>0</v>
      </c>
      <c r="K440" s="51">
        <f>IF(L440=1,0,IF(SUM(K$266:K439)&gt;=Construction_Timeline,0,1))</f>
        <v>0</v>
      </c>
      <c r="L440" s="13">
        <f t="shared" si="62"/>
        <v>0</v>
      </c>
      <c r="M440" s="54">
        <f t="shared" si="57"/>
        <v>51471</v>
      </c>
      <c r="N440" s="7"/>
      <c r="O440" s="12"/>
      <c r="Q440" s="65"/>
      <c r="W440" s="3"/>
      <c r="X440" s="3"/>
    </row>
    <row r="441" spans="1:24" customFormat="1">
      <c r="A441" s="3"/>
      <c r="B441" s="7"/>
      <c r="C441" s="7">
        <v>180</v>
      </c>
      <c r="D441" s="24">
        <f t="shared" si="58"/>
        <v>0</v>
      </c>
      <c r="E441" s="103">
        <f t="shared" si="61"/>
        <v>0</v>
      </c>
      <c r="F441" s="53"/>
      <c r="G441" s="24">
        <f>IF(C441=SUM(Month_of_Sale,PreDev_Timeline-Expedited_Process,Construction_Timeline),G$56*(1-#REF!),0)</f>
        <v>0</v>
      </c>
      <c r="H441" s="15"/>
      <c r="I441" s="15"/>
      <c r="J441" s="24">
        <f>SUM(D441,F441,G441)+IF(G441&gt;0,I441)</f>
        <v>0</v>
      </c>
      <c r="K441" s="51">
        <f>IF(L441=1,0,IF(SUM(K$266:K440)&gt;=Construction_Timeline,0,1))</f>
        <v>0</v>
      </c>
      <c r="L441" s="13">
        <f t="shared" ref="L441" si="63">IF(C441&lt;=PreDev_Timeline-Expedited_Process,1,0)</f>
        <v>0</v>
      </c>
      <c r="M441" s="54">
        <f t="shared" si="57"/>
        <v>51502</v>
      </c>
      <c r="N441" s="7"/>
      <c r="O441" s="12"/>
      <c r="Q441" s="65"/>
      <c r="W441" s="3"/>
      <c r="X441" s="3"/>
    </row>
    <row r="442" spans="1:24">
      <c r="B442" s="7"/>
      <c r="C442" s="7"/>
      <c r="D442" s="24"/>
      <c r="E442" s="103"/>
      <c r="F442" s="52"/>
      <c r="G442" s="24"/>
      <c r="H442" s="15"/>
      <c r="I442" s="15"/>
      <c r="J442" s="24"/>
      <c r="K442" s="51"/>
      <c r="L442" s="13"/>
      <c r="M442" s="54"/>
      <c r="N442" s="7"/>
      <c r="O442" s="12"/>
    </row>
    <row r="443" spans="1:24" ht="15.6">
      <c r="B443" s="6"/>
      <c r="C443" s="41" t="s">
        <v>135</v>
      </c>
      <c r="D443" s="39"/>
      <c r="E443" s="39"/>
      <c r="F443" s="39"/>
      <c r="G443" s="39"/>
      <c r="H443" s="39"/>
      <c r="I443" s="39"/>
      <c r="J443" s="39"/>
      <c r="K443" s="97" t="s">
        <v>87</v>
      </c>
      <c r="L443" s="7"/>
      <c r="M443" s="7"/>
      <c r="N443" s="7"/>
      <c r="O443" s="12"/>
      <c r="P443" s="3"/>
      <c r="Q443" s="3"/>
      <c r="R443" s="3"/>
      <c r="S443" s="3"/>
      <c r="T443" s="3"/>
      <c r="U443" s="3"/>
      <c r="V443" s="3"/>
    </row>
    <row r="444" spans="1:24">
      <c r="B444" s="6"/>
      <c r="C444" s="7"/>
      <c r="D444" s="7"/>
      <c r="E444" s="7"/>
      <c r="F444" s="7"/>
      <c r="G444" s="7"/>
      <c r="H444" s="7"/>
      <c r="I444" s="7"/>
      <c r="J444" s="7"/>
      <c r="K444" s="7"/>
      <c r="L444" s="7"/>
      <c r="M444" s="7"/>
      <c r="N444" s="7"/>
      <c r="O444" s="12"/>
      <c r="P444" s="3"/>
      <c r="Q444" s="3"/>
      <c r="R444" s="3"/>
      <c r="S444" s="3"/>
      <c r="T444" s="3"/>
      <c r="U444" s="3"/>
      <c r="V444" s="3"/>
    </row>
    <row r="445" spans="1:24">
      <c r="B445" s="7"/>
      <c r="C445" s="7" t="s">
        <v>20</v>
      </c>
      <c r="D445" s="70">
        <v>1E-3</v>
      </c>
      <c r="E445" s="7"/>
      <c r="F445" s="7"/>
      <c r="G445" s="7"/>
      <c r="H445" s="7"/>
      <c r="I445" s="7"/>
      <c r="J445" s="7"/>
      <c r="K445" s="7"/>
      <c r="L445" s="7"/>
      <c r="M445" s="7"/>
      <c r="N445" s="7"/>
      <c r="O445" s="12"/>
      <c r="P445" s="3"/>
      <c r="Q445" s="3"/>
      <c r="R445" s="3"/>
      <c r="S445" s="3"/>
      <c r="T445" s="3"/>
      <c r="U445" s="3"/>
      <c r="V445" s="3"/>
    </row>
    <row r="446" spans="1:24">
      <c r="B446" s="7"/>
      <c r="C446" s="7"/>
      <c r="D446" s="101">
        <f>D74</f>
        <v>-12599999.999999998</v>
      </c>
      <c r="E446" s="101">
        <f t="shared" ref="E446:J446" si="64">E74</f>
        <v>-203305000.00000003</v>
      </c>
      <c r="F446" s="101">
        <f t="shared" si="64"/>
        <v>0</v>
      </c>
      <c r="G446" s="101">
        <f t="shared" si="64"/>
        <v>43650000</v>
      </c>
      <c r="H446" s="101">
        <f t="shared" si="64"/>
        <v>-416378.05683779484</v>
      </c>
      <c r="I446" s="101">
        <f t="shared" si="64"/>
        <v>-29583621.943162207</v>
      </c>
      <c r="J446" s="101">
        <f t="shared" si="64"/>
        <v>7832378.0568377953</v>
      </c>
      <c r="K446" s="101"/>
      <c r="L446" s="7"/>
      <c r="M446" s="7"/>
      <c r="N446" s="7"/>
      <c r="O446" s="12"/>
      <c r="P446" s="3"/>
      <c r="Q446" s="3"/>
      <c r="R446" s="3"/>
      <c r="S446" s="3"/>
      <c r="T446" s="3"/>
      <c r="U446" s="3"/>
      <c r="V446" s="3"/>
    </row>
    <row r="447" spans="1:24">
      <c r="B447" s="7"/>
      <c r="C447" s="25"/>
      <c r="D447" s="101">
        <f>SUM(D449:D629)</f>
        <v>-12599999.999999998</v>
      </c>
      <c r="E447" s="101">
        <f>SUM(E449:E629)</f>
        <v>-203305000.00000003</v>
      </c>
      <c r="F447" s="13"/>
      <c r="G447" s="101">
        <f>SUM(G449:G629)</f>
        <v>43650000</v>
      </c>
      <c r="H447" s="101">
        <f>SUM(H449:H629)</f>
        <v>-416378.05683779484</v>
      </c>
      <c r="I447" s="101">
        <f>-Construction_Costs-H447</f>
        <v>-29583621.943162207</v>
      </c>
      <c r="J447" s="101">
        <f>SUM(J449:J629)</f>
        <v>7832378.0568377953</v>
      </c>
      <c r="K447" s="13"/>
      <c r="L447" s="7"/>
      <c r="M447" s="7"/>
      <c r="N447" s="7"/>
      <c r="O447" s="102" t="s">
        <v>109</v>
      </c>
      <c r="P447" s="3"/>
      <c r="Q447" s="3"/>
      <c r="R447" s="3"/>
      <c r="S447" s="3"/>
      <c r="T447" s="3"/>
      <c r="U447" s="3"/>
      <c r="V447" s="3"/>
    </row>
    <row r="448" spans="1:24">
      <c r="B448" s="7"/>
      <c r="C448" s="7" t="s">
        <v>32</v>
      </c>
      <c r="D448" s="13" t="s">
        <v>111</v>
      </c>
      <c r="E448" s="13" t="s">
        <v>112</v>
      </c>
      <c r="F448" s="9" t="s">
        <v>39</v>
      </c>
      <c r="G448" s="7" t="s">
        <v>21</v>
      </c>
      <c r="H448" s="7" t="s">
        <v>76</v>
      </c>
      <c r="I448" s="7" t="s">
        <v>108</v>
      </c>
      <c r="J448" s="7" t="s">
        <v>22</v>
      </c>
      <c r="K448" s="13" t="s">
        <v>55</v>
      </c>
      <c r="L448" s="13" t="s">
        <v>36</v>
      </c>
      <c r="M448" s="7"/>
      <c r="N448" s="7"/>
      <c r="O448" s="12"/>
      <c r="P448" s="3"/>
      <c r="Q448" s="3"/>
      <c r="R448" s="3"/>
      <c r="S448" s="3"/>
      <c r="T448" s="3"/>
      <c r="U448" s="3"/>
      <c r="V448" s="3"/>
    </row>
    <row r="449" spans="2:24">
      <c r="B449" s="7"/>
      <c r="C449" s="7">
        <v>0</v>
      </c>
      <c r="D449" s="24">
        <f>MIN(-1,-Incentive_Land_Costs)</f>
        <v>-4000000</v>
      </c>
      <c r="E449" s="103">
        <f>-G51-D449</f>
        <v>-8600000</v>
      </c>
      <c r="F449" s="53"/>
      <c r="G449" s="24">
        <f t="shared" ref="G449:G480" si="65">IF(C449=SUM(Month_of_Sale,PreDev_Timeline,Construction_Timeline),Incentive_Sales_Price*(1-D$64),0)</f>
        <v>0</v>
      </c>
      <c r="H449" s="162">
        <v>0</v>
      </c>
      <c r="I449" s="15">
        <f>-$G$52-SUM(H$449:H449)</f>
        <v>-23634000</v>
      </c>
      <c r="J449" s="24">
        <f t="shared" ref="J449:J480" si="66">SUM(D449,F449,G449)+IF(G449&gt;0,I449)</f>
        <v>-4000000</v>
      </c>
      <c r="K449" s="51">
        <v>0</v>
      </c>
      <c r="L449" s="13">
        <v>0</v>
      </c>
      <c r="M449" s="72">
        <v>46023</v>
      </c>
      <c r="N449" s="7"/>
      <c r="O449" s="12"/>
      <c r="P449" s="98"/>
      <c r="Q449" s="98"/>
      <c r="R449" s="98"/>
      <c r="S449" s="98"/>
      <c r="T449" s="3"/>
      <c r="U449" s="98"/>
      <c r="V449" s="98"/>
      <c r="W449" s="98"/>
      <c r="X449" s="98"/>
    </row>
    <row r="450" spans="2:24">
      <c r="B450" s="7"/>
      <c r="C450" s="7">
        <v>1</v>
      </c>
      <c r="D450" s="24">
        <f t="shared" ref="D450:D481" si="67">IF(AND(C449&gt;0,E449&gt;=D449),E449,IF(L450=1,-Incentive_Pre_Development_Costs/PreDev_Timeline,IF(K450=1,MAX(E449,-G$52/Construction_Timeline),0)))</f>
        <v>-83333.333333333328</v>
      </c>
      <c r="E450" s="103">
        <f>E449-D450</f>
        <v>-8516666.666666666</v>
      </c>
      <c r="F450" s="53"/>
      <c r="G450" s="24">
        <f t="shared" si="65"/>
        <v>0</v>
      </c>
      <c r="H450" s="15">
        <f>IF(G450&gt;0,0,IF(AND(H449=0,SUM(K450:L450)=0),0,IF(D450=0,PPMT(D$65/12,COUNTIF(D$449:D450,0),D$66,G$52),0)))</f>
        <v>0</v>
      </c>
      <c r="I450" s="15">
        <f>-$G$52-SUM(H$449:H450)</f>
        <v>-23634000</v>
      </c>
      <c r="J450" s="24">
        <f t="shared" si="66"/>
        <v>-83333.333333333328</v>
      </c>
      <c r="K450" s="51">
        <f>IF(L450=1,0,IF(SUM(K$449:K449)&gt;=Construction_Timeline,0,1))</f>
        <v>0</v>
      </c>
      <c r="L450" s="13">
        <f t="shared" ref="L450:L481" si="68">IF(C450&lt;=PreDev_Timeline,1,0)</f>
        <v>1</v>
      </c>
      <c r="M450" s="54">
        <f>EDATE(M449,1)</f>
        <v>46054</v>
      </c>
      <c r="N450" s="7"/>
      <c r="O450" s="12"/>
      <c r="P450" s="98"/>
      <c r="Q450" s="98"/>
      <c r="R450" s="98"/>
      <c r="S450" s="98"/>
      <c r="T450" s="3"/>
      <c r="U450" s="98"/>
      <c r="V450" s="98"/>
      <c r="W450" s="98"/>
      <c r="X450" s="98"/>
    </row>
    <row r="451" spans="2:24">
      <c r="B451" s="7"/>
      <c r="C451" s="7">
        <v>2</v>
      </c>
      <c r="D451" s="24">
        <f t="shared" si="67"/>
        <v>-83333.333333333328</v>
      </c>
      <c r="E451" s="103">
        <f t="shared" ref="E451:E469" si="69">E450-D451</f>
        <v>-8433333.3333333321</v>
      </c>
      <c r="F451" s="53"/>
      <c r="G451" s="24">
        <f t="shared" si="65"/>
        <v>0</v>
      </c>
      <c r="H451" s="15">
        <f>IF(G451&gt;0,0,IF(AND(H450=0,SUM(K451:L451)=0),0,IF(D451=0,PPMT(D$65/12,COUNTIF(D$449:D451,0),D$66,G$52),0)))</f>
        <v>0</v>
      </c>
      <c r="I451" s="15">
        <f>-$G$52-SUM(H$449:H451)</f>
        <v>-23634000</v>
      </c>
      <c r="J451" s="24">
        <f t="shared" si="66"/>
        <v>-83333.333333333328</v>
      </c>
      <c r="K451" s="51">
        <f>IF(L451=1,0,IF(SUM(K$449:K450)&gt;=Construction_Timeline,0,1))</f>
        <v>0</v>
      </c>
      <c r="L451" s="13">
        <f t="shared" si="68"/>
        <v>1</v>
      </c>
      <c r="M451" s="54">
        <f t="shared" ref="M451:M514" si="70">EDATE(M450,1)</f>
        <v>46082</v>
      </c>
      <c r="N451" s="7"/>
      <c r="O451" s="12"/>
      <c r="P451" s="98"/>
      <c r="Q451" s="98"/>
      <c r="R451" s="98"/>
      <c r="S451" s="98"/>
      <c r="T451" s="3"/>
      <c r="U451" s="98"/>
      <c r="V451" s="98"/>
      <c r="W451" s="98"/>
      <c r="X451" s="98"/>
    </row>
    <row r="452" spans="2:24">
      <c r="B452" s="7"/>
      <c r="C452" s="7">
        <v>3</v>
      </c>
      <c r="D452" s="24">
        <f t="shared" si="67"/>
        <v>-83333.333333333328</v>
      </c>
      <c r="E452" s="103">
        <f t="shared" si="69"/>
        <v>-8349999.9999999991</v>
      </c>
      <c r="F452" s="53"/>
      <c r="G452" s="24">
        <f t="shared" si="65"/>
        <v>0</v>
      </c>
      <c r="H452" s="15">
        <f>IF(G452&gt;0,0,IF(AND(H451=0,SUM(K452:L452)=0),0,IF(D452=0,PPMT(D$65/12,COUNTIF(D$449:D452,0),D$66,G$52),0)))</f>
        <v>0</v>
      </c>
      <c r="I452" s="15">
        <f>-$G$52-SUM(H$449:H452)</f>
        <v>-23634000</v>
      </c>
      <c r="J452" s="24">
        <f t="shared" si="66"/>
        <v>-83333.333333333328</v>
      </c>
      <c r="K452" s="51">
        <f>IF(L452=1,0,IF(SUM(K$449:K451)&gt;=Construction_Timeline,0,1))</f>
        <v>0</v>
      </c>
      <c r="L452" s="13">
        <f t="shared" si="68"/>
        <v>1</v>
      </c>
      <c r="M452" s="54">
        <f t="shared" si="70"/>
        <v>46113</v>
      </c>
      <c r="N452" s="7"/>
      <c r="O452" s="12"/>
      <c r="P452" s="98"/>
      <c r="Q452" s="98"/>
      <c r="R452" s="98"/>
      <c r="S452" s="98"/>
      <c r="T452" s="3"/>
      <c r="U452" s="98"/>
      <c r="V452" s="98"/>
      <c r="W452" s="98"/>
      <c r="X452" s="98"/>
    </row>
    <row r="453" spans="2:24">
      <c r="B453" s="7"/>
      <c r="C453" s="7">
        <v>4</v>
      </c>
      <c r="D453" s="24">
        <f t="shared" si="67"/>
        <v>-83333.333333333328</v>
      </c>
      <c r="E453" s="103">
        <f t="shared" si="69"/>
        <v>-8266666.666666666</v>
      </c>
      <c r="F453" s="53"/>
      <c r="G453" s="24">
        <f t="shared" si="65"/>
        <v>0</v>
      </c>
      <c r="H453" s="15">
        <f>IF(G453&gt;0,0,IF(AND(H452=0,SUM(K453:L453)=0),0,IF(D453=0,PPMT(D$65/12,COUNTIF(D$449:D453,0),D$66,G$52),0)))</f>
        <v>0</v>
      </c>
      <c r="I453" s="15">
        <f>-$G$52-SUM(H$449:H453)</f>
        <v>-23634000</v>
      </c>
      <c r="J453" s="24">
        <f t="shared" si="66"/>
        <v>-83333.333333333328</v>
      </c>
      <c r="K453" s="51">
        <f>IF(L453=1,0,IF(SUM(K$449:K452)&gt;=Construction_Timeline,0,1))</f>
        <v>0</v>
      </c>
      <c r="L453" s="13">
        <f t="shared" si="68"/>
        <v>1</v>
      </c>
      <c r="M453" s="54">
        <f t="shared" si="70"/>
        <v>46143</v>
      </c>
      <c r="N453" s="7"/>
      <c r="O453" s="12"/>
      <c r="P453" s="98"/>
      <c r="Q453" s="98"/>
      <c r="R453" s="98"/>
      <c r="S453" s="98"/>
      <c r="T453" s="3"/>
      <c r="U453" s="98"/>
      <c r="V453" s="98"/>
      <c r="W453" s="98"/>
      <c r="X453" s="98"/>
    </row>
    <row r="454" spans="2:24">
      <c r="B454" s="7"/>
      <c r="C454" s="7">
        <v>5</v>
      </c>
      <c r="D454" s="24">
        <f t="shared" si="67"/>
        <v>-83333.333333333328</v>
      </c>
      <c r="E454" s="103">
        <f t="shared" si="69"/>
        <v>-8183333.333333333</v>
      </c>
      <c r="F454" s="53"/>
      <c r="G454" s="24">
        <f t="shared" si="65"/>
        <v>0</v>
      </c>
      <c r="H454" s="15">
        <f>IF(G454&gt;0,0,IF(AND(H453=0,SUM(K454:L454)=0),0,IF(D454=0,PPMT(D$65/12,COUNTIF(D$449:D454,0),D$66,G$52),0)))</f>
        <v>0</v>
      </c>
      <c r="I454" s="15">
        <f>-$G$52-SUM(H$449:H454)</f>
        <v>-23634000</v>
      </c>
      <c r="J454" s="24">
        <f t="shared" si="66"/>
        <v>-83333.333333333328</v>
      </c>
      <c r="K454" s="51">
        <f>IF(L454=1,0,IF(SUM(K$449:K453)&gt;=Construction_Timeline,0,1))</f>
        <v>0</v>
      </c>
      <c r="L454" s="13">
        <f t="shared" si="68"/>
        <v>1</v>
      </c>
      <c r="M454" s="54">
        <f t="shared" si="70"/>
        <v>46174</v>
      </c>
      <c r="N454" s="7"/>
      <c r="O454" s="12"/>
      <c r="P454" s="98"/>
      <c r="Q454" s="98"/>
      <c r="R454" s="98"/>
      <c r="S454" s="98"/>
      <c r="T454" s="3"/>
      <c r="U454" s="98"/>
      <c r="V454" s="98"/>
      <c r="W454" s="98"/>
      <c r="X454" s="98"/>
    </row>
    <row r="455" spans="2:24">
      <c r="B455" s="7"/>
      <c r="C455" s="7">
        <v>6</v>
      </c>
      <c r="D455" s="24">
        <f t="shared" si="67"/>
        <v>-83333.333333333328</v>
      </c>
      <c r="E455" s="103">
        <f t="shared" si="69"/>
        <v>-8100000</v>
      </c>
      <c r="F455" s="53"/>
      <c r="G455" s="24">
        <f t="shared" si="65"/>
        <v>0</v>
      </c>
      <c r="H455" s="15">
        <f>IF(G455&gt;0,0,IF(AND(H454=0,SUM(K455:L455)=0),0,IF(D455=0,PPMT(D$65/12,COUNTIF(D$449:D455,0),D$66,G$52),0)))</f>
        <v>0</v>
      </c>
      <c r="I455" s="15">
        <f>-$G$52-SUM(H$449:H455)</f>
        <v>-23634000</v>
      </c>
      <c r="J455" s="24">
        <f t="shared" si="66"/>
        <v>-83333.333333333328</v>
      </c>
      <c r="K455" s="51">
        <f>IF(L455=1,0,IF(SUM(K$449:K454)&gt;=Construction_Timeline,0,1))</f>
        <v>0</v>
      </c>
      <c r="L455" s="13">
        <f t="shared" si="68"/>
        <v>1</v>
      </c>
      <c r="M455" s="54">
        <f t="shared" si="70"/>
        <v>46204</v>
      </c>
      <c r="N455" s="7"/>
      <c r="O455" s="12"/>
      <c r="P455" s="98"/>
      <c r="Q455" s="98"/>
      <c r="R455" s="98"/>
      <c r="S455" s="98"/>
      <c r="T455" s="3"/>
      <c r="U455" s="98"/>
      <c r="V455" s="98"/>
      <c r="W455" s="98"/>
      <c r="X455" s="98"/>
    </row>
    <row r="456" spans="2:24">
      <c r="B456" s="7"/>
      <c r="C456" s="7">
        <v>7</v>
      </c>
      <c r="D456" s="24">
        <f t="shared" si="67"/>
        <v>-83333.333333333328</v>
      </c>
      <c r="E456" s="103">
        <f t="shared" si="69"/>
        <v>-8016666.666666667</v>
      </c>
      <c r="F456" s="53"/>
      <c r="G456" s="24">
        <f t="shared" si="65"/>
        <v>0</v>
      </c>
      <c r="H456" s="15">
        <f>IF(G456&gt;0,0,IF(AND(H455=0,SUM(K456:L456)=0),0,IF(D456=0,PPMT(D$65/12,COUNTIF(D$449:D456,0),D$66,G$52),0)))</f>
        <v>0</v>
      </c>
      <c r="I456" s="15">
        <f>-$G$52-SUM(H$449:H456)</f>
        <v>-23634000</v>
      </c>
      <c r="J456" s="24">
        <f t="shared" si="66"/>
        <v>-83333.333333333328</v>
      </c>
      <c r="K456" s="51">
        <f>IF(L456=1,0,IF(SUM(K$449:K455)&gt;=Construction_Timeline,0,1))</f>
        <v>0</v>
      </c>
      <c r="L456" s="13">
        <f t="shared" si="68"/>
        <v>1</v>
      </c>
      <c r="M456" s="54">
        <f t="shared" si="70"/>
        <v>46235</v>
      </c>
      <c r="N456" s="7"/>
      <c r="O456" s="12"/>
      <c r="P456" s="98"/>
      <c r="Q456" s="98"/>
      <c r="R456" s="98"/>
      <c r="S456" s="98"/>
      <c r="T456" s="3"/>
      <c r="U456" s="98"/>
      <c r="V456" s="98"/>
      <c r="W456" s="98"/>
      <c r="X456" s="98"/>
    </row>
    <row r="457" spans="2:24">
      <c r="B457" s="7"/>
      <c r="C457" s="7">
        <v>8</v>
      </c>
      <c r="D457" s="24">
        <f t="shared" si="67"/>
        <v>-83333.333333333328</v>
      </c>
      <c r="E457" s="103">
        <f t="shared" si="69"/>
        <v>-7933333.333333334</v>
      </c>
      <c r="F457" s="53"/>
      <c r="G457" s="24">
        <f t="shared" si="65"/>
        <v>0</v>
      </c>
      <c r="H457" s="15">
        <f>IF(G457&gt;0,0,IF(AND(H456=0,SUM(K457:L457)=0),0,IF(D457=0,PPMT(D$65/12,COUNTIF(D$449:D457,0),D$66,G$52),0)))</f>
        <v>0</v>
      </c>
      <c r="I457" s="15">
        <f>-$G$52-SUM(H$449:H457)</f>
        <v>-23634000</v>
      </c>
      <c r="J457" s="24">
        <f t="shared" si="66"/>
        <v>-83333.333333333328</v>
      </c>
      <c r="K457" s="51">
        <f>IF(L457=1,0,IF(SUM(K$449:K456)&gt;=Construction_Timeline,0,1))</f>
        <v>0</v>
      </c>
      <c r="L457" s="13">
        <f t="shared" si="68"/>
        <v>1</v>
      </c>
      <c r="M457" s="54">
        <f t="shared" si="70"/>
        <v>46266</v>
      </c>
      <c r="N457" s="7"/>
      <c r="O457" s="12"/>
      <c r="P457" s="98"/>
      <c r="Q457" s="98"/>
      <c r="R457" s="98"/>
      <c r="S457" s="98"/>
      <c r="T457" s="3"/>
      <c r="U457" s="98"/>
      <c r="V457" s="98"/>
      <c r="W457" s="98"/>
      <c r="X457" s="98"/>
    </row>
    <row r="458" spans="2:24">
      <c r="B458" s="7"/>
      <c r="C458" s="7">
        <v>9</v>
      </c>
      <c r="D458" s="24">
        <f t="shared" si="67"/>
        <v>-83333.333333333328</v>
      </c>
      <c r="E458" s="103">
        <f t="shared" si="69"/>
        <v>-7850000.0000000009</v>
      </c>
      <c r="F458" s="53"/>
      <c r="G458" s="24">
        <f t="shared" si="65"/>
        <v>0</v>
      </c>
      <c r="H458" s="15">
        <f>IF(G458&gt;0,0,IF(AND(H457=0,SUM(K458:L458)=0),0,IF(D458=0,PPMT(D$65/12,COUNTIF(D$449:D458,0),D$66,G$52),0)))</f>
        <v>0</v>
      </c>
      <c r="I458" s="15">
        <f>-$G$52-SUM(H$449:H458)</f>
        <v>-23634000</v>
      </c>
      <c r="J458" s="24">
        <f t="shared" si="66"/>
        <v>-83333.333333333328</v>
      </c>
      <c r="K458" s="51">
        <f>IF(L458=1,0,IF(SUM(K$449:K457)&gt;=Construction_Timeline,0,1))</f>
        <v>0</v>
      </c>
      <c r="L458" s="13">
        <f t="shared" si="68"/>
        <v>1</v>
      </c>
      <c r="M458" s="54">
        <f t="shared" si="70"/>
        <v>46296</v>
      </c>
      <c r="N458" s="7"/>
      <c r="O458" s="12"/>
      <c r="P458" s="98"/>
      <c r="Q458" s="98"/>
      <c r="R458" s="98"/>
      <c r="S458" s="98"/>
      <c r="T458" s="3"/>
      <c r="U458" s="98"/>
      <c r="V458" s="98"/>
      <c r="W458" s="98"/>
      <c r="X458" s="98"/>
    </row>
    <row r="459" spans="2:24">
      <c r="B459" s="7"/>
      <c r="C459" s="7">
        <v>10</v>
      </c>
      <c r="D459" s="24">
        <f t="shared" si="67"/>
        <v>-83333.333333333328</v>
      </c>
      <c r="E459" s="103">
        <f t="shared" si="69"/>
        <v>-7766666.6666666679</v>
      </c>
      <c r="F459" s="53"/>
      <c r="G459" s="24">
        <f t="shared" si="65"/>
        <v>0</v>
      </c>
      <c r="H459" s="15">
        <f>IF(G459&gt;0,0,IF(AND(H458=0,SUM(K459:L459)=0),0,IF(D459=0,PPMT(D$65/12,COUNTIF(D$449:D459,0),D$66,G$52),0)))</f>
        <v>0</v>
      </c>
      <c r="I459" s="15">
        <f>-$G$52-SUM(H$449:H459)</f>
        <v>-23634000</v>
      </c>
      <c r="J459" s="24">
        <f t="shared" si="66"/>
        <v>-83333.333333333328</v>
      </c>
      <c r="K459" s="51">
        <f>IF(L459=1,0,IF(SUM(K$449:K458)&gt;=Construction_Timeline,0,1))</f>
        <v>0</v>
      </c>
      <c r="L459" s="13">
        <f t="shared" si="68"/>
        <v>1</v>
      </c>
      <c r="M459" s="54">
        <f t="shared" si="70"/>
        <v>46327</v>
      </c>
      <c r="N459" s="7"/>
      <c r="O459" s="12"/>
      <c r="P459" s="98"/>
      <c r="Q459" s="98"/>
      <c r="R459" s="98"/>
      <c r="S459" s="98"/>
      <c r="T459" s="3"/>
      <c r="U459" s="98"/>
      <c r="V459" s="98"/>
      <c r="W459" s="98"/>
      <c r="X459" s="98"/>
    </row>
    <row r="460" spans="2:24">
      <c r="B460" s="7"/>
      <c r="C460" s="7">
        <v>11</v>
      </c>
      <c r="D460" s="24">
        <f t="shared" si="67"/>
        <v>-83333.333333333328</v>
      </c>
      <c r="E460" s="103">
        <f t="shared" si="69"/>
        <v>-7683333.3333333349</v>
      </c>
      <c r="F460" s="53"/>
      <c r="G460" s="24">
        <f t="shared" si="65"/>
        <v>0</v>
      </c>
      <c r="H460" s="15">
        <f>IF(G460&gt;0,0,IF(AND(H459=0,SUM(K460:L460)=0),0,IF(D460=0,PPMT(D$65/12,COUNTIF(D$449:D460,0),D$66,G$52),0)))</f>
        <v>0</v>
      </c>
      <c r="I460" s="15">
        <f>-$G$52-SUM(H$449:H460)</f>
        <v>-23634000</v>
      </c>
      <c r="J460" s="24">
        <f t="shared" si="66"/>
        <v>-83333.333333333328</v>
      </c>
      <c r="K460" s="51">
        <f>IF(L460=1,0,IF(SUM(K$449:K459)&gt;=Construction_Timeline,0,1))</f>
        <v>0</v>
      </c>
      <c r="L460" s="13">
        <f t="shared" si="68"/>
        <v>1</v>
      </c>
      <c r="M460" s="54">
        <f t="shared" si="70"/>
        <v>46357</v>
      </c>
      <c r="N460" s="7"/>
      <c r="O460" s="12"/>
      <c r="P460" s="98"/>
      <c r="Q460" s="98"/>
      <c r="R460" s="98"/>
      <c r="S460" s="98"/>
      <c r="T460" s="3"/>
      <c r="U460" s="98"/>
      <c r="V460" s="98"/>
      <c r="W460" s="98"/>
      <c r="X460" s="98"/>
    </row>
    <row r="461" spans="2:24">
      <c r="B461" s="7"/>
      <c r="C461" s="7">
        <v>12</v>
      </c>
      <c r="D461" s="24">
        <f t="shared" si="67"/>
        <v>-83333.333333333328</v>
      </c>
      <c r="E461" s="103">
        <f t="shared" si="69"/>
        <v>-7600000.0000000019</v>
      </c>
      <c r="F461" s="53"/>
      <c r="G461" s="24">
        <f t="shared" si="65"/>
        <v>0</v>
      </c>
      <c r="H461" s="15">
        <f>IF(G461&gt;0,0,IF(AND(H460=0,SUM(K461:L461)=0),0,IF(D461=0,PPMT(D$65/12,COUNTIF(D$449:D461,0),D$66,G$52),0)))</f>
        <v>0</v>
      </c>
      <c r="I461" s="15">
        <f>-$G$52-SUM(H$449:H461)</f>
        <v>-23634000</v>
      </c>
      <c r="J461" s="24">
        <f t="shared" si="66"/>
        <v>-83333.333333333328</v>
      </c>
      <c r="K461" s="51">
        <f>IF(L461=1,0,IF(SUM(K$449:K460)&gt;=Construction_Timeline,0,1))</f>
        <v>0</v>
      </c>
      <c r="L461" s="13">
        <f t="shared" si="68"/>
        <v>1</v>
      </c>
      <c r="M461" s="54">
        <f t="shared" si="70"/>
        <v>46388</v>
      </c>
      <c r="N461" s="7"/>
      <c r="O461" s="12"/>
      <c r="P461" s="98"/>
      <c r="Q461" s="98"/>
      <c r="R461" s="98"/>
      <c r="S461" s="98"/>
      <c r="T461" s="3"/>
      <c r="U461" s="98"/>
      <c r="V461" s="98"/>
      <c r="W461" s="98"/>
      <c r="X461" s="98"/>
    </row>
    <row r="462" spans="2:24">
      <c r="B462" s="7"/>
      <c r="C462" s="7">
        <v>13</v>
      </c>
      <c r="D462" s="24">
        <f t="shared" si="67"/>
        <v>-83333.333333333328</v>
      </c>
      <c r="E462" s="103">
        <f t="shared" si="69"/>
        <v>-7516666.6666666688</v>
      </c>
      <c r="F462" s="53"/>
      <c r="G462" s="24">
        <f t="shared" si="65"/>
        <v>0</v>
      </c>
      <c r="H462" s="15">
        <f>IF(G462&gt;0,0,IF(AND(H461=0,SUM(K462:L462)=0),0,IF(D462=0,PPMT(D$65/12,COUNTIF(D$449:D462,0),D$66,G$52),0)))</f>
        <v>0</v>
      </c>
      <c r="I462" s="15">
        <f>-$G$52-SUM(H$449:H462)</f>
        <v>-23634000</v>
      </c>
      <c r="J462" s="24">
        <f t="shared" si="66"/>
        <v>-83333.333333333328</v>
      </c>
      <c r="K462" s="51">
        <f>IF(L462=1,0,IF(SUM(K$449:K461)&gt;=Construction_Timeline,0,1))</f>
        <v>0</v>
      </c>
      <c r="L462" s="13">
        <f t="shared" si="68"/>
        <v>1</v>
      </c>
      <c r="M462" s="54">
        <f t="shared" si="70"/>
        <v>46419</v>
      </c>
      <c r="N462" s="7"/>
      <c r="O462" s="12"/>
      <c r="P462" s="98"/>
      <c r="Q462" s="98"/>
      <c r="R462" s="98"/>
      <c r="S462" s="98"/>
      <c r="T462" s="3"/>
      <c r="U462" s="98"/>
      <c r="V462" s="98"/>
      <c r="W462" s="98"/>
      <c r="X462" s="98"/>
    </row>
    <row r="463" spans="2:24">
      <c r="B463" s="7"/>
      <c r="C463" s="7">
        <v>14</v>
      </c>
      <c r="D463" s="24">
        <f t="shared" si="67"/>
        <v>-83333.333333333328</v>
      </c>
      <c r="E463" s="103">
        <f t="shared" si="69"/>
        <v>-7433333.3333333358</v>
      </c>
      <c r="F463" s="53"/>
      <c r="G463" s="24">
        <f t="shared" si="65"/>
        <v>0</v>
      </c>
      <c r="H463" s="15">
        <f>IF(G463&gt;0,0,IF(AND(H462=0,SUM(K463:L463)=0),0,IF(D463=0,PPMT(D$65/12,COUNTIF(D$449:D463,0),D$66,G$52),0)))</f>
        <v>0</v>
      </c>
      <c r="I463" s="15">
        <f>-$G$52-SUM(H$449:H463)</f>
        <v>-23634000</v>
      </c>
      <c r="J463" s="24">
        <f t="shared" si="66"/>
        <v>-83333.333333333328</v>
      </c>
      <c r="K463" s="51">
        <f>IF(L463=1,0,IF(SUM(K$449:K462)&gt;=Construction_Timeline,0,1))</f>
        <v>0</v>
      </c>
      <c r="L463" s="13">
        <f t="shared" si="68"/>
        <v>1</v>
      </c>
      <c r="M463" s="54">
        <f t="shared" si="70"/>
        <v>46447</v>
      </c>
      <c r="N463" s="7"/>
      <c r="O463" s="12"/>
      <c r="P463" s="98"/>
      <c r="Q463" s="98"/>
      <c r="R463" s="98"/>
      <c r="S463" s="98"/>
      <c r="T463" s="3"/>
      <c r="U463" s="98"/>
      <c r="V463" s="98"/>
      <c r="W463" s="98"/>
      <c r="X463" s="98"/>
    </row>
    <row r="464" spans="2:24">
      <c r="B464" s="7"/>
      <c r="C464" s="7">
        <v>15</v>
      </c>
      <c r="D464" s="24">
        <f t="shared" si="67"/>
        <v>-83333.333333333328</v>
      </c>
      <c r="E464" s="103">
        <f t="shared" si="69"/>
        <v>-7350000.0000000028</v>
      </c>
      <c r="F464" s="53"/>
      <c r="G464" s="24">
        <f t="shared" si="65"/>
        <v>0</v>
      </c>
      <c r="H464" s="15">
        <f>IF(G464&gt;0,0,IF(AND(H463=0,SUM(K464:L464)=0),0,IF(D464=0,PPMT(D$65/12,COUNTIF(D$449:D464,0),D$66,G$52),0)))</f>
        <v>0</v>
      </c>
      <c r="I464" s="15">
        <f>-$G$52-SUM(H$449:H464)</f>
        <v>-23634000</v>
      </c>
      <c r="J464" s="24">
        <f t="shared" si="66"/>
        <v>-83333.333333333328</v>
      </c>
      <c r="K464" s="51">
        <f>IF(L464=1,0,IF(SUM(K$449:K463)&gt;=Construction_Timeline,0,1))</f>
        <v>0</v>
      </c>
      <c r="L464" s="13">
        <f t="shared" si="68"/>
        <v>1</v>
      </c>
      <c r="M464" s="54">
        <f t="shared" si="70"/>
        <v>46478</v>
      </c>
      <c r="N464" s="7"/>
      <c r="O464" s="12"/>
      <c r="P464" s="98"/>
      <c r="Q464" s="98"/>
      <c r="R464" s="98"/>
      <c r="S464" s="98"/>
      <c r="T464" s="3"/>
      <c r="U464" s="98"/>
      <c r="V464" s="98"/>
      <c r="W464" s="98"/>
      <c r="X464" s="98"/>
    </row>
    <row r="465" spans="2:24" customFormat="1">
      <c r="B465" s="7"/>
      <c r="C465" s="7">
        <v>16</v>
      </c>
      <c r="D465" s="24">
        <f t="shared" si="67"/>
        <v>-83333.333333333328</v>
      </c>
      <c r="E465" s="103">
        <f t="shared" si="69"/>
        <v>-7266666.6666666698</v>
      </c>
      <c r="F465" s="53"/>
      <c r="G465" s="24">
        <f t="shared" si="65"/>
        <v>0</v>
      </c>
      <c r="H465" s="15">
        <f>IF(G465&gt;0,0,IF(AND(H464=0,SUM(K465:L465)=0),0,IF(D465=0,PPMT(D$65/12,COUNTIF(D$449:D465,0),D$66,G$52),0)))</f>
        <v>0</v>
      </c>
      <c r="I465" s="15">
        <f>-$G$52-SUM(H$449:H465)</f>
        <v>-23634000</v>
      </c>
      <c r="J465" s="24">
        <f t="shared" si="66"/>
        <v>-83333.333333333328</v>
      </c>
      <c r="K465" s="51">
        <f>IF(L465=1,0,IF(SUM(K$449:K464)&gt;=Construction_Timeline,0,1))</f>
        <v>0</v>
      </c>
      <c r="L465" s="13">
        <f t="shared" si="68"/>
        <v>1</v>
      </c>
      <c r="M465" s="54">
        <f t="shared" si="70"/>
        <v>46508</v>
      </c>
      <c r="N465" s="7"/>
      <c r="O465" s="12"/>
      <c r="P465" s="98"/>
      <c r="Q465" s="98"/>
      <c r="R465" s="98"/>
      <c r="S465" s="98"/>
      <c r="U465" s="98"/>
      <c r="V465" s="98"/>
      <c r="W465" s="98"/>
      <c r="X465" s="98"/>
    </row>
    <row r="466" spans="2:24" customFormat="1">
      <c r="B466" s="7"/>
      <c r="C466" s="7">
        <v>17</v>
      </c>
      <c r="D466" s="24">
        <f t="shared" si="67"/>
        <v>-83333.333333333328</v>
      </c>
      <c r="E466" s="103">
        <f t="shared" si="69"/>
        <v>-7183333.3333333367</v>
      </c>
      <c r="F466" s="53"/>
      <c r="G466" s="24">
        <f t="shared" si="65"/>
        <v>0</v>
      </c>
      <c r="H466" s="15">
        <f>IF(G466&gt;0,0,IF(AND(H465=0,SUM(K466:L466)=0),0,IF(D466=0,PPMT(D$65/12,COUNTIF(D$449:D466,0),D$66,G$52),0)))</f>
        <v>0</v>
      </c>
      <c r="I466" s="15">
        <f>-$G$52-SUM(H$449:H466)</f>
        <v>-23634000</v>
      </c>
      <c r="J466" s="24">
        <f t="shared" si="66"/>
        <v>-83333.333333333328</v>
      </c>
      <c r="K466" s="51">
        <f>IF(L466=1,0,IF(SUM(K$449:K465)&gt;=Construction_Timeline,0,1))</f>
        <v>0</v>
      </c>
      <c r="L466" s="13">
        <f t="shared" si="68"/>
        <v>1</v>
      </c>
      <c r="M466" s="54">
        <f t="shared" si="70"/>
        <v>46539</v>
      </c>
      <c r="N466" s="7"/>
      <c r="O466" s="12"/>
      <c r="P466" s="98"/>
      <c r="Q466" s="98"/>
      <c r="R466" s="98"/>
      <c r="S466" s="98"/>
      <c r="U466" s="98"/>
      <c r="V466" s="98"/>
      <c r="W466" s="98"/>
      <c r="X466" s="98"/>
    </row>
    <row r="467" spans="2:24" customFormat="1">
      <c r="B467" s="7"/>
      <c r="C467" s="7">
        <v>18</v>
      </c>
      <c r="D467" s="24">
        <f t="shared" si="67"/>
        <v>-83333.333333333328</v>
      </c>
      <c r="E467" s="103">
        <f t="shared" si="69"/>
        <v>-7100000.0000000037</v>
      </c>
      <c r="F467" s="53"/>
      <c r="G467" s="24">
        <f t="shared" si="65"/>
        <v>0</v>
      </c>
      <c r="H467" s="15">
        <f>IF(G467&gt;0,0,IF(AND(H466=0,SUM(K467:L467)=0),0,IF(D467=0,PPMT(D$65/12,COUNTIF(D$449:D467,0),D$66,G$52),0)))</f>
        <v>0</v>
      </c>
      <c r="I467" s="15">
        <f>-$G$52-SUM(H$449:H467)</f>
        <v>-23634000</v>
      </c>
      <c r="J467" s="24">
        <f t="shared" si="66"/>
        <v>-83333.333333333328</v>
      </c>
      <c r="K467" s="51">
        <f>IF(L467=1,0,IF(SUM(K$449:K466)&gt;=Construction_Timeline,0,1))</f>
        <v>0</v>
      </c>
      <c r="L467" s="13">
        <f t="shared" si="68"/>
        <v>1</v>
      </c>
      <c r="M467" s="54">
        <f t="shared" si="70"/>
        <v>46569</v>
      </c>
      <c r="N467" s="7"/>
      <c r="O467" s="12"/>
      <c r="P467" s="98"/>
      <c r="Q467" s="98"/>
      <c r="R467" s="98"/>
      <c r="S467" s="98"/>
      <c r="U467" s="98"/>
      <c r="V467" s="98"/>
      <c r="W467" s="98"/>
      <c r="X467" s="98"/>
    </row>
    <row r="468" spans="2:24" customFormat="1">
      <c r="B468" s="7"/>
      <c r="C468" s="7">
        <v>19</v>
      </c>
      <c r="D468" s="24">
        <f t="shared" si="67"/>
        <v>-83333.333333333328</v>
      </c>
      <c r="E468" s="103">
        <f t="shared" si="69"/>
        <v>-7016666.6666666707</v>
      </c>
      <c r="F468" s="53"/>
      <c r="G468" s="24">
        <f t="shared" si="65"/>
        <v>0</v>
      </c>
      <c r="H468" s="15">
        <f>IF(G468&gt;0,0,IF(AND(H467=0,SUM(K468:L468)=0),0,IF(D468=0,PPMT(D$65/12,COUNTIF(D$449:D468,0),D$66,G$52),0)))</f>
        <v>0</v>
      </c>
      <c r="I468" s="15">
        <f>-$G$52-SUM(H$449:H468)</f>
        <v>-23634000</v>
      </c>
      <c r="J468" s="24">
        <f t="shared" si="66"/>
        <v>-83333.333333333328</v>
      </c>
      <c r="K468" s="51">
        <f>IF(L468=1,0,IF(SUM(K$449:K467)&gt;=Construction_Timeline,0,1))</f>
        <v>0</v>
      </c>
      <c r="L468" s="13">
        <f t="shared" si="68"/>
        <v>1</v>
      </c>
      <c r="M468" s="54">
        <f t="shared" si="70"/>
        <v>46600</v>
      </c>
      <c r="N468" s="7"/>
      <c r="O468" s="12"/>
      <c r="P468" s="98"/>
      <c r="Q468" s="98"/>
      <c r="R468" s="98"/>
      <c r="S468" s="98"/>
      <c r="U468" s="98"/>
      <c r="V468" s="98"/>
      <c r="W468" s="98"/>
      <c r="X468" s="98"/>
    </row>
    <row r="469" spans="2:24" customFormat="1">
      <c r="B469" s="7"/>
      <c r="C469" s="7">
        <v>20</v>
      </c>
      <c r="D469" s="24">
        <f t="shared" si="67"/>
        <v>-83333.333333333328</v>
      </c>
      <c r="E469" s="103">
        <f t="shared" si="69"/>
        <v>-6933333.3333333377</v>
      </c>
      <c r="F469" s="53"/>
      <c r="G469" s="24">
        <f t="shared" si="65"/>
        <v>0</v>
      </c>
      <c r="H469" s="15">
        <f>IF(G469&gt;0,0,IF(AND(H468=0,SUM(K469:L469)=0),0,IF(D469=0,PPMT(D$65/12,COUNTIF(D$449:D469,0),D$66,G$52),0)))</f>
        <v>0</v>
      </c>
      <c r="I469" s="15">
        <f>-$G$52-SUM(H$449:H469)</f>
        <v>-23634000</v>
      </c>
      <c r="J469" s="24">
        <f t="shared" si="66"/>
        <v>-83333.333333333328</v>
      </c>
      <c r="K469" s="51">
        <f>IF(L469=1,0,IF(SUM(K$449:K468)&gt;=Construction_Timeline,0,1))</f>
        <v>0</v>
      </c>
      <c r="L469" s="13">
        <f t="shared" si="68"/>
        <v>1</v>
      </c>
      <c r="M469" s="54">
        <f t="shared" si="70"/>
        <v>46631</v>
      </c>
      <c r="N469" s="7"/>
      <c r="O469" s="12"/>
      <c r="P469" s="98"/>
      <c r="Q469" s="98"/>
      <c r="R469" s="98"/>
      <c r="S469" s="98"/>
      <c r="U469" s="98"/>
      <c r="V469" s="98"/>
      <c r="W469" s="98"/>
      <c r="X469" s="98"/>
    </row>
    <row r="470" spans="2:24" customFormat="1">
      <c r="B470" s="7"/>
      <c r="C470" s="7">
        <v>21</v>
      </c>
      <c r="D470" s="24">
        <f t="shared" si="67"/>
        <v>-83333.333333333328</v>
      </c>
      <c r="E470" s="103">
        <f>E469-D470</f>
        <v>-6850000.0000000047</v>
      </c>
      <c r="F470" s="53"/>
      <c r="G470" s="24">
        <f t="shared" si="65"/>
        <v>0</v>
      </c>
      <c r="H470" s="15">
        <f>IF(G470&gt;0,0,IF(AND(H469=0,SUM(K470:L470)=0),0,IF(D470=0,PPMT(D$65/12,COUNTIF(D$449:D470,0),D$66,G$52),0)))</f>
        <v>0</v>
      </c>
      <c r="I470" s="15">
        <f>-$G$52-SUM(H$449:H470)</f>
        <v>-23634000</v>
      </c>
      <c r="J470" s="24">
        <f t="shared" si="66"/>
        <v>-83333.333333333328</v>
      </c>
      <c r="K470" s="51">
        <f>IF(L470=1,0,IF(SUM(K$449:K469)&gt;=Construction_Timeline,0,1))</f>
        <v>0</v>
      </c>
      <c r="L470" s="13">
        <f t="shared" si="68"/>
        <v>1</v>
      </c>
      <c r="M470" s="54">
        <f t="shared" si="70"/>
        <v>46661</v>
      </c>
      <c r="N470" s="7"/>
      <c r="O470" s="12"/>
      <c r="P470" s="98"/>
      <c r="Q470" s="98"/>
      <c r="R470" s="98"/>
      <c r="S470" s="98"/>
      <c r="U470" s="98"/>
      <c r="V470" s="98"/>
      <c r="W470" s="98"/>
      <c r="X470" s="98"/>
    </row>
    <row r="471" spans="2:24" customFormat="1">
      <c r="B471" s="7"/>
      <c r="C471" s="7">
        <v>22</v>
      </c>
      <c r="D471" s="24">
        <f t="shared" si="67"/>
        <v>-83333.333333333328</v>
      </c>
      <c r="E471" s="103">
        <f t="shared" ref="E471:E534" si="71">E470-D471</f>
        <v>-6766666.6666666716</v>
      </c>
      <c r="F471" s="53"/>
      <c r="G471" s="24">
        <f t="shared" si="65"/>
        <v>0</v>
      </c>
      <c r="H471" s="15">
        <f>IF(G471&gt;0,0,IF(AND(H470=0,SUM(K471:L471)=0),0,IF(D471=0,PPMT(D$65/12,COUNTIF(D$449:D471,0),D$66,G$52),0)))</f>
        <v>0</v>
      </c>
      <c r="I471" s="15">
        <f>-$G$52-SUM(H$449:H471)</f>
        <v>-23634000</v>
      </c>
      <c r="J471" s="24">
        <f t="shared" si="66"/>
        <v>-83333.333333333328</v>
      </c>
      <c r="K471" s="51">
        <f>IF(L471=1,0,IF(SUM(K$449:K470)&gt;=Construction_Timeline,0,1))</f>
        <v>0</v>
      </c>
      <c r="L471" s="13">
        <f t="shared" si="68"/>
        <v>1</v>
      </c>
      <c r="M471" s="54">
        <f t="shared" si="70"/>
        <v>46692</v>
      </c>
      <c r="N471" s="7"/>
      <c r="O471" s="12"/>
      <c r="P471" s="98"/>
      <c r="Q471" s="98"/>
      <c r="R471" s="98"/>
      <c r="S471" s="98"/>
      <c r="U471" s="98"/>
      <c r="V471" s="98"/>
      <c r="W471" s="98"/>
      <c r="X471" s="98"/>
    </row>
    <row r="472" spans="2:24" customFormat="1">
      <c r="B472" s="7"/>
      <c r="C472" s="7">
        <v>23</v>
      </c>
      <c r="D472" s="24">
        <f t="shared" si="67"/>
        <v>-83333.333333333328</v>
      </c>
      <c r="E472" s="103">
        <f t="shared" si="71"/>
        <v>-6683333.3333333386</v>
      </c>
      <c r="F472" s="53"/>
      <c r="G472" s="24">
        <f t="shared" si="65"/>
        <v>0</v>
      </c>
      <c r="H472" s="15">
        <f>IF(G472&gt;0,0,IF(AND(H471=0,SUM(K472:L472)=0),0,IF(D472=0,PPMT(D$65/12,COUNTIF(D$449:D472,0),D$66,G$52),0)))</f>
        <v>0</v>
      </c>
      <c r="I472" s="15">
        <f>-$G$52-SUM(H$449:H472)</f>
        <v>-23634000</v>
      </c>
      <c r="J472" s="24">
        <f t="shared" si="66"/>
        <v>-83333.333333333328</v>
      </c>
      <c r="K472" s="51">
        <f>IF(L472=1,0,IF(SUM(K$449:K471)&gt;=Construction_Timeline,0,1))</f>
        <v>0</v>
      </c>
      <c r="L472" s="13">
        <f t="shared" si="68"/>
        <v>1</v>
      </c>
      <c r="M472" s="54">
        <f t="shared" si="70"/>
        <v>46722</v>
      </c>
      <c r="N472" s="7"/>
      <c r="O472" s="12"/>
      <c r="P472" s="98"/>
      <c r="Q472" s="98"/>
      <c r="R472" s="98"/>
      <c r="S472" s="98"/>
      <c r="U472" s="98"/>
      <c r="V472" s="98"/>
      <c r="W472" s="98"/>
      <c r="X472" s="98"/>
    </row>
    <row r="473" spans="2:24" customFormat="1">
      <c r="B473" s="7"/>
      <c r="C473" s="7">
        <v>24</v>
      </c>
      <c r="D473" s="24">
        <f t="shared" si="67"/>
        <v>-83333.333333333328</v>
      </c>
      <c r="E473" s="103">
        <f t="shared" si="71"/>
        <v>-6600000.0000000056</v>
      </c>
      <c r="F473" s="53"/>
      <c r="G473" s="24">
        <f t="shared" si="65"/>
        <v>0</v>
      </c>
      <c r="H473" s="15">
        <f>IF(G473&gt;0,0,IF(AND(H472=0,SUM(K473:L473)=0),0,IF(D473=0,PPMT(D$65/12,COUNTIF(D$449:D473,0),D$66,G$52),0)))</f>
        <v>0</v>
      </c>
      <c r="I473" s="15">
        <f>-$G$52-SUM(H$449:H473)</f>
        <v>-23634000</v>
      </c>
      <c r="J473" s="24">
        <f t="shared" si="66"/>
        <v>-83333.333333333328</v>
      </c>
      <c r="K473" s="51">
        <f>IF(L473=1,0,IF(SUM(K$449:K472)&gt;=Construction_Timeline,0,1))</f>
        <v>0</v>
      </c>
      <c r="L473" s="13">
        <f t="shared" si="68"/>
        <v>1</v>
      </c>
      <c r="M473" s="54">
        <f t="shared" si="70"/>
        <v>46753</v>
      </c>
      <c r="N473" s="7"/>
      <c r="O473" s="12"/>
      <c r="P473" s="98"/>
      <c r="Q473" s="98"/>
      <c r="R473" s="98"/>
      <c r="S473" s="98"/>
      <c r="U473" s="98"/>
      <c r="V473" s="98"/>
      <c r="W473" s="98"/>
      <c r="X473" s="98"/>
    </row>
    <row r="474" spans="2:24" customFormat="1">
      <c r="B474" s="7"/>
      <c r="C474" s="7">
        <v>25</v>
      </c>
      <c r="D474" s="24">
        <f t="shared" si="67"/>
        <v>-1313000</v>
      </c>
      <c r="E474" s="103">
        <f t="shared" si="71"/>
        <v>-5287000.0000000056</v>
      </c>
      <c r="F474" s="53"/>
      <c r="G474" s="24">
        <f t="shared" si="65"/>
        <v>0</v>
      </c>
      <c r="H474" s="15">
        <f>IF(G474&gt;0,0,IF(AND(H473=0,SUM(K474:L474)=0),0,IF(D474=0,PPMT(D$65/12,COUNTIF(D$449:D474,0),D$66,G$52),0)))</f>
        <v>0</v>
      </c>
      <c r="I474" s="15">
        <f>-$G$52-SUM(H$449:H474)</f>
        <v>-23634000</v>
      </c>
      <c r="J474" s="24">
        <f t="shared" si="66"/>
        <v>-1313000</v>
      </c>
      <c r="K474" s="51">
        <f>IF(L474=1,0,IF(SUM(K$449:K473)&gt;=Construction_Timeline,0,1))</f>
        <v>1</v>
      </c>
      <c r="L474" s="13">
        <f t="shared" si="68"/>
        <v>0</v>
      </c>
      <c r="M474" s="54">
        <f t="shared" si="70"/>
        <v>46784</v>
      </c>
      <c r="N474" s="7"/>
      <c r="O474" s="12"/>
      <c r="P474" s="98"/>
      <c r="Q474" s="98"/>
      <c r="R474" s="98"/>
      <c r="S474" s="98"/>
      <c r="U474" s="98"/>
      <c r="V474" s="98"/>
      <c r="W474" s="98"/>
      <c r="X474" s="98"/>
    </row>
    <row r="475" spans="2:24" customFormat="1">
      <c r="B475" s="7"/>
      <c r="C475" s="7">
        <v>26</v>
      </c>
      <c r="D475" s="24">
        <f t="shared" si="67"/>
        <v>-1313000</v>
      </c>
      <c r="E475" s="103">
        <f t="shared" si="71"/>
        <v>-3974000.0000000056</v>
      </c>
      <c r="F475" s="53"/>
      <c r="G475" s="24">
        <f t="shared" si="65"/>
        <v>0</v>
      </c>
      <c r="H475" s="15">
        <f>IF(G475&gt;0,0,IF(AND(H474=0,SUM(K475:L475)=0),0,IF(D475=0,PPMT(D$65/12,COUNTIF(D$449:D475,0),D$66,G$52),0)))</f>
        <v>0</v>
      </c>
      <c r="I475" s="15">
        <f>-$G$52-SUM(H$449:H475)</f>
        <v>-23634000</v>
      </c>
      <c r="J475" s="24">
        <f t="shared" si="66"/>
        <v>-1313000</v>
      </c>
      <c r="K475" s="51">
        <f>IF(L475=1,0,IF(SUM(K$449:K474)&gt;=Construction_Timeline,0,1))</f>
        <v>1</v>
      </c>
      <c r="L475" s="13">
        <f t="shared" si="68"/>
        <v>0</v>
      </c>
      <c r="M475" s="54">
        <f t="shared" si="70"/>
        <v>46813</v>
      </c>
      <c r="N475" s="7"/>
      <c r="O475" s="12"/>
      <c r="P475" s="98"/>
      <c r="Q475" s="98"/>
      <c r="R475" s="98"/>
      <c r="S475" s="98"/>
      <c r="U475" s="98"/>
      <c r="V475" s="98"/>
      <c r="W475" s="98"/>
      <c r="X475" s="98"/>
    </row>
    <row r="476" spans="2:24" customFormat="1">
      <c r="B476" s="7"/>
      <c r="C476" s="7">
        <v>27</v>
      </c>
      <c r="D476" s="24">
        <f t="shared" si="67"/>
        <v>-1313000</v>
      </c>
      <c r="E476" s="103">
        <f t="shared" si="71"/>
        <v>-2661000.0000000056</v>
      </c>
      <c r="F476" s="53"/>
      <c r="G476" s="24">
        <f t="shared" si="65"/>
        <v>0</v>
      </c>
      <c r="H476" s="15">
        <f>IF(G476&gt;0,0,IF(AND(H475=0,SUM(K476:L476)=0),0,IF(D476=0,PPMT(D$65/12,COUNTIF(D$449:D476,0),D$66,G$52),0)))</f>
        <v>0</v>
      </c>
      <c r="I476" s="15">
        <f>-$G$52-SUM(H$449:H476)</f>
        <v>-23634000</v>
      </c>
      <c r="J476" s="24">
        <f t="shared" si="66"/>
        <v>-1313000</v>
      </c>
      <c r="K476" s="51">
        <f>IF(L476=1,0,IF(SUM(K$449:K475)&gt;=Construction_Timeline,0,1))</f>
        <v>1</v>
      </c>
      <c r="L476" s="13">
        <f t="shared" si="68"/>
        <v>0</v>
      </c>
      <c r="M476" s="54">
        <f t="shared" si="70"/>
        <v>46844</v>
      </c>
      <c r="N476" s="7"/>
      <c r="O476" s="12"/>
      <c r="P476" s="98"/>
      <c r="Q476" s="98"/>
      <c r="R476" s="98"/>
      <c r="S476" s="98"/>
      <c r="U476" s="98"/>
      <c r="V476" s="98"/>
      <c r="W476" s="98"/>
      <c r="X476" s="98"/>
    </row>
    <row r="477" spans="2:24" customFormat="1">
      <c r="B477" s="7"/>
      <c r="C477" s="7">
        <v>28</v>
      </c>
      <c r="D477" s="24">
        <f t="shared" si="67"/>
        <v>-1313000</v>
      </c>
      <c r="E477" s="103">
        <f t="shared" si="71"/>
        <v>-1348000.0000000056</v>
      </c>
      <c r="F477" s="53"/>
      <c r="G477" s="24">
        <f t="shared" si="65"/>
        <v>0</v>
      </c>
      <c r="H477" s="15">
        <f>IF(G477&gt;0,0,IF(AND(H476=0,SUM(K477:L477)=0),0,IF(D477=0,PPMT(D$65/12,COUNTIF(D$449:D477,0),D$66,Primary_Loan_Amount),0)))</f>
        <v>0</v>
      </c>
      <c r="I477" s="15">
        <f>-$G$52-SUM(H$449:H477)</f>
        <v>-23634000</v>
      </c>
      <c r="J477" s="24">
        <f t="shared" si="66"/>
        <v>-1313000</v>
      </c>
      <c r="K477" s="51">
        <f>IF(L477=1,0,IF(SUM(K$449:K476)&gt;=Construction_Timeline,0,1))</f>
        <v>1</v>
      </c>
      <c r="L477" s="13">
        <f t="shared" si="68"/>
        <v>0</v>
      </c>
      <c r="M477" s="54">
        <f t="shared" si="70"/>
        <v>46874</v>
      </c>
      <c r="N477" s="7"/>
      <c r="O477" s="12"/>
      <c r="P477" s="98"/>
      <c r="Q477" s="98"/>
      <c r="R477" s="98"/>
      <c r="S477" s="98"/>
      <c r="U477" s="98"/>
      <c r="V477" s="98"/>
      <c r="W477" s="98"/>
      <c r="X477" s="98"/>
    </row>
    <row r="478" spans="2:24" customFormat="1">
      <c r="B478" s="7"/>
      <c r="C478" s="7">
        <v>29</v>
      </c>
      <c r="D478" s="24">
        <f t="shared" si="67"/>
        <v>-1313000</v>
      </c>
      <c r="E478" s="103">
        <f t="shared" si="71"/>
        <v>-35000.000000005588</v>
      </c>
      <c r="F478" s="53"/>
      <c r="G478" s="24">
        <f t="shared" si="65"/>
        <v>0</v>
      </c>
      <c r="H478" s="15">
        <f>IF(G478&gt;0,0,IF(AND(H477=0,SUM(K478:L478)=0),0,IF(D478=0,PPMT(D$65/12,COUNTIF(D$449:D478,0),D$66,Primary_Loan_Amount),0)))</f>
        <v>0</v>
      </c>
      <c r="I478" s="15">
        <f>-$G$52-SUM(H$449:H478)</f>
        <v>-23634000</v>
      </c>
      <c r="J478" s="24">
        <f t="shared" si="66"/>
        <v>-1313000</v>
      </c>
      <c r="K478" s="51">
        <f>IF(L478=1,0,IF(SUM(K$449:K477)&gt;=Construction_Timeline,0,1))</f>
        <v>1</v>
      </c>
      <c r="L478" s="13">
        <f t="shared" si="68"/>
        <v>0</v>
      </c>
      <c r="M478" s="54">
        <f t="shared" si="70"/>
        <v>46905</v>
      </c>
      <c r="N478" s="7"/>
      <c r="O478" s="12"/>
      <c r="P478" s="98"/>
      <c r="Q478" s="98"/>
      <c r="R478" s="98"/>
      <c r="S478" s="98"/>
      <c r="U478" s="98"/>
      <c r="V478" s="98"/>
      <c r="W478" s="98"/>
      <c r="X478" s="98"/>
    </row>
    <row r="479" spans="2:24" customFormat="1">
      <c r="B479" s="7"/>
      <c r="C479" s="7">
        <v>30</v>
      </c>
      <c r="D479" s="24">
        <f t="shared" si="67"/>
        <v>-35000.000000005588</v>
      </c>
      <c r="E479" s="103">
        <f t="shared" si="71"/>
        <v>0</v>
      </c>
      <c r="F479" s="53"/>
      <c r="G479" s="24">
        <f t="shared" si="65"/>
        <v>0</v>
      </c>
      <c r="H479" s="15">
        <f>IF(G479&gt;0,0,IF(AND(H478=0,SUM(K479:L479)=0),0,IF(D479=0,PPMT(D$65/12,COUNTIF(D$449:D479,0),D$66,Primary_Loan_Amount),0)))</f>
        <v>0</v>
      </c>
      <c r="I479" s="15">
        <f>-$G$52-SUM(H$449:H479)</f>
        <v>-23634000</v>
      </c>
      <c r="J479" s="24">
        <f t="shared" si="66"/>
        <v>-35000.000000005588</v>
      </c>
      <c r="K479" s="51">
        <f>IF(L479=1,0,IF(SUM(K$449:K478)&gt;=Construction_Timeline,0,1))</f>
        <v>1</v>
      </c>
      <c r="L479" s="13">
        <f t="shared" si="68"/>
        <v>0</v>
      </c>
      <c r="M479" s="54">
        <f t="shared" si="70"/>
        <v>46935</v>
      </c>
      <c r="N479" s="7"/>
      <c r="O479" s="12"/>
      <c r="P479" s="98"/>
      <c r="Q479" s="98"/>
      <c r="R479" s="98"/>
      <c r="S479" s="98"/>
      <c r="U479" s="98"/>
      <c r="V479" s="98"/>
      <c r="W479" s="98"/>
      <c r="X479" s="98"/>
    </row>
    <row r="480" spans="2:24" customFormat="1">
      <c r="B480" s="7"/>
      <c r="C480" s="7">
        <v>31</v>
      </c>
      <c r="D480" s="24">
        <f t="shared" si="67"/>
        <v>0</v>
      </c>
      <c r="E480" s="103">
        <f t="shared" si="71"/>
        <v>0</v>
      </c>
      <c r="F480" s="53"/>
      <c r="G480" s="24">
        <f t="shared" si="65"/>
        <v>0</v>
      </c>
      <c r="H480" s="15">
        <f>IF(G480&gt;0,0,IF(AND(H479=0,SUM(K480:L480)=0),0,IF(D480=0,PPMT(D$65/12,COUNTIF(D$449:D480,0),D$66,Primary_Loan_Amount),0)))</f>
        <v>-23527.771114601488</v>
      </c>
      <c r="I480" s="15">
        <f>-$G$52-SUM(H$449:H480)</f>
        <v>-23610472.228885397</v>
      </c>
      <c r="J480" s="24">
        <f t="shared" si="66"/>
        <v>0</v>
      </c>
      <c r="K480" s="51">
        <f>IF(L480=1,0,IF(SUM(K$449:K479)&gt;=Construction_Timeline,0,1))</f>
        <v>1</v>
      </c>
      <c r="L480" s="13">
        <f t="shared" si="68"/>
        <v>0</v>
      </c>
      <c r="M480" s="54">
        <f t="shared" si="70"/>
        <v>46966</v>
      </c>
      <c r="N480" s="7"/>
      <c r="O480" s="12"/>
      <c r="P480" s="98"/>
      <c r="Q480" s="98"/>
      <c r="R480" s="98"/>
      <c r="S480" s="98"/>
      <c r="U480" s="98"/>
      <c r="V480" s="98"/>
      <c r="W480" s="98"/>
      <c r="X480" s="98"/>
    </row>
    <row r="481" spans="2:24" customFormat="1">
      <c r="B481" s="7"/>
      <c r="C481" s="7">
        <v>32</v>
      </c>
      <c r="D481" s="24">
        <f t="shared" si="67"/>
        <v>0</v>
      </c>
      <c r="E481" s="103">
        <f t="shared" si="71"/>
        <v>0</v>
      </c>
      <c r="F481" s="53"/>
      <c r="G481" s="24">
        <f t="shared" ref="G481:G512" si="72">IF(C481=SUM(Month_of_Sale,PreDev_Timeline,Construction_Timeline),Incentive_Sales_Price*(1-D$64),0)</f>
        <v>0</v>
      </c>
      <c r="H481" s="15">
        <f>IF(G481&gt;0,0,IF(AND(H480=0,SUM(K481:L481)=0),0,IF(D481=0,PPMT(D$65/12,COUNTIF(D$449:D481,0),D$66,Primary_Loan_Amount),0)))</f>
        <v>-23645.409970174493</v>
      </c>
      <c r="I481" s="15">
        <f>-$G$52-SUM(H$449:H481)</f>
        <v>-23586826.818915226</v>
      </c>
      <c r="J481" s="24">
        <f t="shared" ref="J481:J512" si="73">SUM(D481,F481,G481)+IF(G481&gt;0,I481)</f>
        <v>0</v>
      </c>
      <c r="K481" s="51">
        <f>IF(L481=1,0,IF(SUM(K$449:K480)&gt;=Construction_Timeline,0,1))</f>
        <v>1</v>
      </c>
      <c r="L481" s="13">
        <f t="shared" si="68"/>
        <v>0</v>
      </c>
      <c r="M481" s="54">
        <f t="shared" si="70"/>
        <v>46997</v>
      </c>
      <c r="N481" s="7"/>
      <c r="O481" s="12"/>
      <c r="P481" s="98"/>
      <c r="Q481" s="98"/>
      <c r="R481" s="98"/>
      <c r="S481" s="98"/>
      <c r="U481" s="98"/>
      <c r="V481" s="98"/>
      <c r="W481" s="98"/>
      <c r="X481" s="98"/>
    </row>
    <row r="482" spans="2:24" customFormat="1">
      <c r="B482" s="7"/>
      <c r="C482" s="7">
        <v>33</v>
      </c>
      <c r="D482" s="24">
        <f t="shared" ref="D482:D513" si="74">IF(AND(C481&gt;0,E481&gt;=D481),E481,IF(L482=1,-Incentive_Pre_Development_Costs/PreDev_Timeline,IF(K482=1,MAX(E481,-G$52/Construction_Timeline),0)))</f>
        <v>0</v>
      </c>
      <c r="E482" s="103">
        <f t="shared" si="71"/>
        <v>0</v>
      </c>
      <c r="F482" s="53"/>
      <c r="G482" s="24">
        <f t="shared" si="72"/>
        <v>0</v>
      </c>
      <c r="H482" s="15">
        <f>IF(G482&gt;0,0,IF(AND(H481=0,SUM(K482:L482)=0),0,IF(D482=0,PPMT(D$65/12,COUNTIF(D$449:D482,0),D$66,Primary_Loan_Amount),0)))</f>
        <v>-23763.637020025366</v>
      </c>
      <c r="I482" s="15">
        <f>-$G$52-SUM(H$449:H482)</f>
        <v>-23563063.1818952</v>
      </c>
      <c r="J482" s="24">
        <f t="shared" si="73"/>
        <v>0</v>
      </c>
      <c r="K482" s="51">
        <f>IF(L482=1,0,IF(SUM(K$449:K481)&gt;=Construction_Timeline,0,1))</f>
        <v>1</v>
      </c>
      <c r="L482" s="13">
        <f t="shared" ref="L482:L513" si="75">IF(C482&lt;=PreDev_Timeline,1,0)</f>
        <v>0</v>
      </c>
      <c r="M482" s="54">
        <f t="shared" si="70"/>
        <v>47027</v>
      </c>
      <c r="N482" s="7"/>
      <c r="O482" s="12"/>
      <c r="P482" s="98"/>
      <c r="Q482" s="98"/>
      <c r="R482" s="98"/>
      <c r="S482" s="98"/>
      <c r="U482" s="98"/>
      <c r="V482" s="98"/>
      <c r="W482" s="98"/>
      <c r="X482" s="98"/>
    </row>
    <row r="483" spans="2:24">
      <c r="B483" s="7"/>
      <c r="C483" s="7">
        <v>34</v>
      </c>
      <c r="D483" s="24">
        <f t="shared" si="74"/>
        <v>0</v>
      </c>
      <c r="E483" s="103">
        <f t="shared" si="71"/>
        <v>0</v>
      </c>
      <c r="F483" s="53"/>
      <c r="G483" s="24">
        <f t="shared" si="72"/>
        <v>0</v>
      </c>
      <c r="H483" s="15">
        <f>IF(G483&gt;0,0,IF(AND(H482=0,SUM(K483:L483)=0),0,IF(D483=0,PPMT(D$65/12,COUNTIF(D$449:D483,0),D$66,Primary_Loan_Amount),0)))</f>
        <v>-23882.455205125498</v>
      </c>
      <c r="I483" s="15">
        <f>-$G$52-SUM(H$449:H483)</f>
        <v>-23539180.726690073</v>
      </c>
      <c r="J483" s="24">
        <f t="shared" si="73"/>
        <v>0</v>
      </c>
      <c r="K483" s="51">
        <f>IF(L483=1,0,IF(SUM(K$449:K482)&gt;=Construction_Timeline,0,1))</f>
        <v>1</v>
      </c>
      <c r="L483" s="13">
        <f t="shared" si="75"/>
        <v>0</v>
      </c>
      <c r="M483" s="54">
        <f t="shared" si="70"/>
        <v>47058</v>
      </c>
      <c r="N483" s="7"/>
      <c r="O483" s="12"/>
      <c r="P483" s="98"/>
      <c r="Q483" s="98"/>
      <c r="R483" s="98"/>
      <c r="S483" s="98"/>
      <c r="T483" s="3"/>
      <c r="U483" s="98"/>
      <c r="V483" s="98"/>
      <c r="W483" s="98"/>
      <c r="X483" s="98"/>
    </row>
    <row r="484" spans="2:24">
      <c r="B484" s="7"/>
      <c r="C484" s="7">
        <v>35</v>
      </c>
      <c r="D484" s="24">
        <f t="shared" si="74"/>
        <v>0</v>
      </c>
      <c r="E484" s="103">
        <f t="shared" si="71"/>
        <v>0</v>
      </c>
      <c r="F484" s="53"/>
      <c r="G484" s="24">
        <f t="shared" si="72"/>
        <v>0</v>
      </c>
      <c r="H484" s="15">
        <f>IF(G484&gt;0,0,IF(AND(H483=0,SUM(K484:L484)=0),0,IF(D484=0,PPMT(D$65/12,COUNTIF(D$449:D484,0),D$66,Primary_Loan_Amount),0)))</f>
        <v>-24001.867481151123</v>
      </c>
      <c r="I484" s="15">
        <f>-$G$52-SUM(H$449:H484)</f>
        <v>-23515178.859208923</v>
      </c>
      <c r="J484" s="24">
        <f t="shared" si="73"/>
        <v>0</v>
      </c>
      <c r="K484" s="51">
        <f>IF(L484=1,0,IF(SUM(K$449:K483)&gt;=Construction_Timeline,0,1))</f>
        <v>1</v>
      </c>
      <c r="L484" s="13">
        <f t="shared" si="75"/>
        <v>0</v>
      </c>
      <c r="M484" s="54">
        <f t="shared" si="70"/>
        <v>47088</v>
      </c>
      <c r="N484" s="7"/>
      <c r="O484" s="12"/>
      <c r="P484" s="98"/>
      <c r="Q484" s="98"/>
      <c r="R484" s="98"/>
      <c r="S484" s="98"/>
      <c r="T484" s="3"/>
      <c r="U484" s="98"/>
      <c r="V484" s="98"/>
      <c r="W484" s="98"/>
      <c r="X484" s="98"/>
    </row>
    <row r="485" spans="2:24">
      <c r="B485" s="7"/>
      <c r="C485" s="7">
        <v>36</v>
      </c>
      <c r="D485" s="24">
        <f t="shared" si="74"/>
        <v>0</v>
      </c>
      <c r="E485" s="103">
        <f t="shared" si="71"/>
        <v>0</v>
      </c>
      <c r="F485" s="53"/>
      <c r="G485" s="24">
        <f t="shared" si="72"/>
        <v>0</v>
      </c>
      <c r="H485" s="15">
        <f>IF(G485&gt;0,0,IF(AND(H484=0,SUM(K485:L485)=0),0,IF(D485=0,PPMT(D$65/12,COUNTIF(D$449:D485,0),D$66,Primary_Loan_Amount),0)))</f>
        <v>-24121.876818556881</v>
      </c>
      <c r="I485" s="15">
        <f>-$G$52-SUM(H$449:H485)</f>
        <v>-23491056.982390366</v>
      </c>
      <c r="J485" s="24">
        <f t="shared" si="73"/>
        <v>0</v>
      </c>
      <c r="K485" s="51">
        <f>IF(L485=1,0,IF(SUM(K$449:K484)&gt;=Construction_Timeline,0,1))</f>
        <v>1</v>
      </c>
      <c r="L485" s="13">
        <f t="shared" si="75"/>
        <v>0</v>
      </c>
      <c r="M485" s="54">
        <f t="shared" si="70"/>
        <v>47119</v>
      </c>
      <c r="N485" s="7"/>
      <c r="O485" s="12"/>
      <c r="P485" s="98"/>
      <c r="Q485" s="98"/>
      <c r="R485" s="98"/>
      <c r="S485" s="98"/>
      <c r="T485" s="3"/>
      <c r="U485" s="98"/>
      <c r="V485" s="98"/>
      <c r="W485" s="98"/>
      <c r="X485" s="98"/>
    </row>
    <row r="486" spans="2:24">
      <c r="B486" s="7"/>
      <c r="C486" s="7">
        <v>37</v>
      </c>
      <c r="D486" s="24">
        <f t="shared" si="74"/>
        <v>0</v>
      </c>
      <c r="E486" s="103">
        <f t="shared" si="71"/>
        <v>0</v>
      </c>
      <c r="F486" s="53"/>
      <c r="G486" s="24">
        <f t="shared" si="72"/>
        <v>0</v>
      </c>
      <c r="H486" s="15">
        <f>IF(G486&gt;0,0,IF(AND(H485=0,SUM(K486:L486)=0),0,IF(D486=0,PPMT(D$65/12,COUNTIF(D$449:D486,0),D$66,Primary_Loan_Amount),0)))</f>
        <v>-24242.486202649659</v>
      </c>
      <c r="I486" s="15">
        <f>-$G$52-SUM(H$449:H486)</f>
        <v>-23466814.496187717</v>
      </c>
      <c r="J486" s="24">
        <f t="shared" si="73"/>
        <v>0</v>
      </c>
      <c r="K486" s="51">
        <f>IF(L486=1,0,IF(SUM(K$449:K485)&gt;=Construction_Timeline,0,1))</f>
        <v>1</v>
      </c>
      <c r="L486" s="13">
        <f t="shared" si="75"/>
        <v>0</v>
      </c>
      <c r="M486" s="54">
        <f t="shared" si="70"/>
        <v>47150</v>
      </c>
      <c r="N486" s="7"/>
      <c r="O486" s="12"/>
      <c r="P486" s="98"/>
      <c r="Q486" s="98"/>
      <c r="R486" s="98"/>
      <c r="S486" s="98"/>
      <c r="T486" s="3"/>
      <c r="U486" s="98"/>
      <c r="V486" s="98"/>
      <c r="W486" s="98"/>
      <c r="X486" s="98"/>
    </row>
    <row r="487" spans="2:24">
      <c r="B487" s="7"/>
      <c r="C487" s="7">
        <v>38</v>
      </c>
      <c r="D487" s="24">
        <f t="shared" si="74"/>
        <v>0</v>
      </c>
      <c r="E487" s="103">
        <f t="shared" si="71"/>
        <v>0</v>
      </c>
      <c r="F487" s="53"/>
      <c r="G487" s="24">
        <f t="shared" si="72"/>
        <v>0</v>
      </c>
      <c r="H487" s="15">
        <f>IF(G487&gt;0,0,IF(AND(H486=0,SUM(K487:L487)=0),0,IF(D487=0,PPMT(D$65/12,COUNTIF(D$449:D487,0),D$66,Primary_Loan_Amount),0)))</f>
        <v>-24363.698633662909</v>
      </c>
      <c r="I487" s="15">
        <f>-$G$52-SUM(H$449:H487)</f>
        <v>-23442450.797554053</v>
      </c>
      <c r="J487" s="24">
        <f t="shared" si="73"/>
        <v>0</v>
      </c>
      <c r="K487" s="51">
        <f>IF(L487=1,0,IF(SUM(K$449:K486)&gt;=Construction_Timeline,0,1))</f>
        <v>1</v>
      </c>
      <c r="L487" s="13">
        <f t="shared" si="75"/>
        <v>0</v>
      </c>
      <c r="M487" s="54">
        <f t="shared" si="70"/>
        <v>47178</v>
      </c>
      <c r="N487" s="7"/>
      <c r="O487" s="12"/>
      <c r="P487" s="98"/>
      <c r="Q487" s="98"/>
      <c r="R487" s="98"/>
      <c r="S487" s="98"/>
      <c r="T487" s="3"/>
      <c r="U487" s="98"/>
      <c r="V487" s="98"/>
      <c r="W487" s="98"/>
      <c r="X487" s="98"/>
    </row>
    <row r="488" spans="2:24">
      <c r="B488" s="7"/>
      <c r="C488" s="7">
        <v>39</v>
      </c>
      <c r="D488" s="24">
        <f t="shared" si="74"/>
        <v>0</v>
      </c>
      <c r="E488" s="103">
        <f t="shared" si="71"/>
        <v>0</v>
      </c>
      <c r="F488" s="53"/>
      <c r="G488" s="24">
        <f t="shared" si="72"/>
        <v>0</v>
      </c>
      <c r="H488" s="15">
        <f>IF(G488&gt;0,0,IF(AND(H487=0,SUM(K488:L488)=0),0,IF(D488=0,PPMT(D$65/12,COUNTIF(D$449:D488,0),D$66,Primary_Loan_Amount),0)))</f>
        <v>-24485.517126831226</v>
      </c>
      <c r="I488" s="15">
        <f>-$G$52-SUM(H$449:H488)</f>
        <v>-23417965.280427221</v>
      </c>
      <c r="J488" s="24">
        <f t="shared" si="73"/>
        <v>0</v>
      </c>
      <c r="K488" s="51">
        <f>IF(L488=1,0,IF(SUM(K$449:K487)&gt;=Construction_Timeline,0,1))</f>
        <v>1</v>
      </c>
      <c r="L488" s="13">
        <f t="shared" si="75"/>
        <v>0</v>
      </c>
      <c r="M488" s="54">
        <f t="shared" si="70"/>
        <v>47209</v>
      </c>
      <c r="N488" s="7"/>
      <c r="O488" s="12"/>
      <c r="P488" s="98"/>
      <c r="Q488" s="98"/>
      <c r="R488" s="98"/>
      <c r="S488" s="98"/>
      <c r="T488" s="3"/>
      <c r="U488" s="98"/>
      <c r="V488" s="98"/>
      <c r="W488" s="98"/>
      <c r="X488" s="98"/>
    </row>
    <row r="489" spans="2:24">
      <c r="B489" s="7"/>
      <c r="C489" s="7">
        <v>40</v>
      </c>
      <c r="D489" s="24">
        <f t="shared" si="74"/>
        <v>0</v>
      </c>
      <c r="E489" s="103">
        <f t="shared" si="71"/>
        <v>0</v>
      </c>
      <c r="F489" s="53"/>
      <c r="G489" s="24">
        <f t="shared" si="72"/>
        <v>0</v>
      </c>
      <c r="H489" s="15">
        <f>IF(G489&gt;0,0,IF(AND(H488=0,SUM(K489:L489)=0),0,IF(D489=0,PPMT(D$65/12,COUNTIF(D$449:D489,0),D$66,Primary_Loan_Amount),0)))</f>
        <v>-24607.944712465382</v>
      </c>
      <c r="I489" s="15">
        <f>-$G$52-SUM(H$449:H489)</f>
        <v>-23393357.335714757</v>
      </c>
      <c r="J489" s="24">
        <f t="shared" si="73"/>
        <v>0</v>
      </c>
      <c r="K489" s="51">
        <f>IF(L489=1,0,IF(SUM(K$449:K488)&gt;=Construction_Timeline,0,1))</f>
        <v>1</v>
      </c>
      <c r="L489" s="13">
        <f t="shared" si="75"/>
        <v>0</v>
      </c>
      <c r="M489" s="54">
        <f t="shared" si="70"/>
        <v>47239</v>
      </c>
      <c r="N489" s="7"/>
      <c r="O489" s="12"/>
      <c r="P489" s="98"/>
      <c r="Q489" s="98"/>
      <c r="R489" s="98"/>
      <c r="S489" s="98"/>
      <c r="T489" s="3"/>
      <c r="U489" s="98"/>
      <c r="V489" s="98"/>
      <c r="W489" s="98"/>
      <c r="X489" s="98"/>
    </row>
    <row r="490" spans="2:24">
      <c r="B490" s="7"/>
      <c r="C490" s="7">
        <v>41</v>
      </c>
      <c r="D490" s="24">
        <f t="shared" si="74"/>
        <v>0</v>
      </c>
      <c r="E490" s="103">
        <f t="shared" si="71"/>
        <v>0</v>
      </c>
      <c r="F490" s="53"/>
      <c r="G490" s="24">
        <f t="shared" si="72"/>
        <v>0</v>
      </c>
      <c r="H490" s="15">
        <f>IF(G490&gt;0,0,IF(AND(H489=0,SUM(K490:L490)=0),0,IF(D490=0,PPMT(D$65/12,COUNTIF(D$449:D490,0),D$66,Primary_Loan_Amount),0)))</f>
        <v>-24730.984436027709</v>
      </c>
      <c r="I490" s="15">
        <f>-$G$52-SUM(H$449:H490)</f>
        <v>-23368626.35127873</v>
      </c>
      <c r="J490" s="24">
        <f t="shared" si="73"/>
        <v>0</v>
      </c>
      <c r="K490" s="51">
        <f>IF(L490=1,0,IF(SUM(K$449:K489)&gt;=Construction_Timeline,0,1))</f>
        <v>1</v>
      </c>
      <c r="L490" s="13">
        <f t="shared" si="75"/>
        <v>0</v>
      </c>
      <c r="M490" s="54">
        <f t="shared" si="70"/>
        <v>47270</v>
      </c>
      <c r="N490" s="7"/>
      <c r="O490" s="12"/>
      <c r="P490" s="98"/>
      <c r="Q490" s="98"/>
      <c r="R490" s="98"/>
      <c r="S490" s="98"/>
      <c r="T490" s="3"/>
      <c r="U490" s="98"/>
      <c r="V490" s="98"/>
      <c r="W490" s="98"/>
      <c r="X490" s="98"/>
    </row>
    <row r="491" spans="2:24">
      <c r="B491" s="7"/>
      <c r="C491" s="7">
        <v>42</v>
      </c>
      <c r="D491" s="24">
        <f t="shared" si="74"/>
        <v>0</v>
      </c>
      <c r="E491" s="103">
        <f t="shared" si="71"/>
        <v>0</v>
      </c>
      <c r="F491" s="53"/>
      <c r="G491" s="24">
        <f t="shared" si="72"/>
        <v>0</v>
      </c>
      <c r="H491" s="15">
        <f>IF(G491&gt;0,0,IF(AND(H490=0,SUM(K491:L491)=0),0,IF(D491=0,PPMT(D$65/12,COUNTIF(D$449:D491,0),D$66,Primary_Loan_Amount),0)))</f>
        <v>-24854.639358207845</v>
      </c>
      <c r="I491" s="15">
        <f>-$G$52-SUM(H$449:H491)</f>
        <v>-23343771.711920522</v>
      </c>
      <c r="J491" s="24">
        <f t="shared" si="73"/>
        <v>0</v>
      </c>
      <c r="K491" s="51">
        <f>IF(L491=1,0,IF(SUM(K$449:K490)&gt;=Construction_Timeline,0,1))</f>
        <v>1</v>
      </c>
      <c r="L491" s="13">
        <f t="shared" si="75"/>
        <v>0</v>
      </c>
      <c r="M491" s="54">
        <f t="shared" si="70"/>
        <v>47300</v>
      </c>
      <c r="N491" s="7"/>
      <c r="O491" s="12"/>
      <c r="P491" s="98"/>
      <c r="Q491" s="98"/>
      <c r="R491" s="98"/>
      <c r="S491" s="98"/>
      <c r="T491" s="3"/>
      <c r="U491" s="98"/>
      <c r="V491" s="98"/>
      <c r="W491" s="98"/>
      <c r="X491" s="98"/>
    </row>
    <row r="492" spans="2:24">
      <c r="B492" s="7"/>
      <c r="C492" s="7">
        <v>43</v>
      </c>
      <c r="D492" s="24">
        <f t="shared" si="74"/>
        <v>0</v>
      </c>
      <c r="E492" s="103">
        <f t="shared" si="71"/>
        <v>0</v>
      </c>
      <c r="F492" s="53"/>
      <c r="G492" s="24">
        <f t="shared" si="72"/>
        <v>0</v>
      </c>
      <c r="H492" s="15">
        <f>IF(G492&gt;0,0,IF(AND(H491=0,SUM(K492:L492)=0),0,IF(D492=0,PPMT(D$65/12,COUNTIF(D$449:D492,0),D$66,Primary_Loan_Amount),0)))</f>
        <v>-24978.912554998886</v>
      </c>
      <c r="I492" s="15">
        <f>-$G$52-SUM(H$449:H492)</f>
        <v>-23318792.79936552</v>
      </c>
      <c r="J492" s="24">
        <f t="shared" si="73"/>
        <v>0</v>
      </c>
      <c r="K492" s="51">
        <f>IF(L492=1,0,IF(SUM(K$449:K491)&gt;=Construction_Timeline,0,1))</f>
        <v>0</v>
      </c>
      <c r="L492" s="13">
        <f t="shared" si="75"/>
        <v>0</v>
      </c>
      <c r="M492" s="54">
        <f t="shared" si="70"/>
        <v>47331</v>
      </c>
      <c r="N492" s="7"/>
      <c r="O492" s="12"/>
      <c r="P492" s="98"/>
      <c r="Q492" s="98"/>
      <c r="R492" s="98"/>
      <c r="S492" s="98"/>
      <c r="T492" s="3"/>
      <c r="U492" s="98"/>
      <c r="V492" s="98"/>
      <c r="W492" s="98"/>
      <c r="X492" s="98"/>
    </row>
    <row r="493" spans="2:24">
      <c r="B493" s="7"/>
      <c r="C493" s="7">
        <v>44</v>
      </c>
      <c r="D493" s="24">
        <f t="shared" si="74"/>
        <v>0</v>
      </c>
      <c r="E493" s="103">
        <f t="shared" si="71"/>
        <v>0</v>
      </c>
      <c r="F493" s="53"/>
      <c r="G493" s="24">
        <f t="shared" si="72"/>
        <v>0</v>
      </c>
      <c r="H493" s="15">
        <f>IF(G493&gt;0,0,IF(AND(H492=0,SUM(K493:L493)=0),0,IF(D493=0,PPMT(D$65/12,COUNTIF(D$449:D493,0),D$66,Primary_Loan_Amount),0)))</f>
        <v>-25103.807117773878</v>
      </c>
      <c r="I493" s="15">
        <f>-$G$52-SUM(H$449:H493)</f>
        <v>-23293688.992247749</v>
      </c>
      <c r="J493" s="24">
        <f t="shared" si="73"/>
        <v>0</v>
      </c>
      <c r="K493" s="51">
        <f>IF(L493=1,0,IF(SUM(K$449:K492)&gt;=Construction_Timeline,0,1))</f>
        <v>0</v>
      </c>
      <c r="L493" s="13">
        <f t="shared" si="75"/>
        <v>0</v>
      </c>
      <c r="M493" s="54">
        <f t="shared" si="70"/>
        <v>47362</v>
      </c>
      <c r="N493" s="7"/>
      <c r="O493" s="12"/>
      <c r="P493" s="98"/>
      <c r="Q493" s="98"/>
      <c r="R493" s="98"/>
      <c r="S493" s="98"/>
      <c r="T493" s="3"/>
      <c r="U493" s="98"/>
      <c r="V493" s="98"/>
      <c r="W493" s="98"/>
      <c r="X493" s="98"/>
    </row>
    <row r="494" spans="2:24">
      <c r="B494" s="7"/>
      <c r="C494" s="7">
        <v>45</v>
      </c>
      <c r="D494" s="24">
        <f t="shared" si="74"/>
        <v>0</v>
      </c>
      <c r="E494" s="103">
        <f t="shared" si="71"/>
        <v>0</v>
      </c>
      <c r="F494" s="53"/>
      <c r="G494" s="24">
        <f t="shared" si="72"/>
        <v>0</v>
      </c>
      <c r="H494" s="15">
        <f>IF(G494&gt;0,0,IF(AND(H493=0,SUM(K494:L494)=0),0,IF(D494=0,PPMT(D$65/12,COUNTIF(D$449:D494,0),D$66,Primary_Loan_Amount),0)))</f>
        <v>-25229.326153362752</v>
      </c>
      <c r="I494" s="15">
        <f>-$G$52-SUM(H$449:H494)</f>
        <v>-23268459.666094385</v>
      </c>
      <c r="J494" s="24">
        <f t="shared" si="73"/>
        <v>0</v>
      </c>
      <c r="K494" s="51">
        <f>IF(L494=1,0,IF(SUM(K$449:K493)&gt;=Construction_Timeline,0,1))</f>
        <v>0</v>
      </c>
      <c r="L494" s="13">
        <f t="shared" si="75"/>
        <v>0</v>
      </c>
      <c r="M494" s="54">
        <f t="shared" si="70"/>
        <v>47392</v>
      </c>
      <c r="N494" s="7"/>
      <c r="O494" s="12"/>
      <c r="P494" s="98"/>
      <c r="Q494" s="98"/>
      <c r="R494" s="98"/>
      <c r="S494" s="98"/>
      <c r="T494" s="3"/>
      <c r="U494" s="98"/>
      <c r="V494" s="98"/>
      <c r="W494" s="98"/>
      <c r="X494" s="98"/>
    </row>
    <row r="495" spans="2:24">
      <c r="B495" s="7"/>
      <c r="C495" s="7">
        <v>46</v>
      </c>
      <c r="D495" s="24">
        <f t="shared" si="74"/>
        <v>0</v>
      </c>
      <c r="E495" s="103">
        <f t="shared" si="71"/>
        <v>0</v>
      </c>
      <c r="F495" s="53"/>
      <c r="G495" s="24">
        <f t="shared" si="72"/>
        <v>0</v>
      </c>
      <c r="H495" s="15">
        <f>IF(G495&gt;0,0,IF(AND(H494=0,SUM(K495:L495)=0),0,IF(D495=0,PPMT(D$65/12,COUNTIF(D$449:D495,0),D$66,Primary_Loan_Amount),0)))</f>
        <v>-25355.472784129557</v>
      </c>
      <c r="I495" s="15">
        <f>-$G$52-SUM(H$449:H495)</f>
        <v>-23243104.193310257</v>
      </c>
      <c r="J495" s="24">
        <f t="shared" si="73"/>
        <v>0</v>
      </c>
      <c r="K495" s="51">
        <f>IF(L495=1,0,IF(SUM(K$449:K494)&gt;=Construction_Timeline,0,1))</f>
        <v>0</v>
      </c>
      <c r="L495" s="13">
        <f t="shared" si="75"/>
        <v>0</v>
      </c>
      <c r="M495" s="54">
        <f t="shared" si="70"/>
        <v>47423</v>
      </c>
      <c r="N495" s="7"/>
      <c r="O495" s="12"/>
      <c r="P495" s="98"/>
      <c r="Q495" s="98"/>
      <c r="R495" s="98"/>
      <c r="S495" s="98"/>
      <c r="T495" s="3"/>
      <c r="U495" s="98"/>
      <c r="V495" s="98"/>
      <c r="W495" s="98"/>
      <c r="X495" s="98"/>
    </row>
    <row r="496" spans="2:24">
      <c r="B496" s="7"/>
      <c r="C496" s="7">
        <v>47</v>
      </c>
      <c r="D496" s="24">
        <f t="shared" si="74"/>
        <v>0</v>
      </c>
      <c r="E496" s="103">
        <f t="shared" si="71"/>
        <v>0</v>
      </c>
      <c r="F496" s="53"/>
      <c r="G496" s="24">
        <f t="shared" si="72"/>
        <v>0</v>
      </c>
      <c r="H496" s="15">
        <f>IF(G496&gt;0,0,IF(AND(H495=0,SUM(K496:L496)=0),0,IF(D496=0,PPMT(D$65/12,COUNTIF(D$449:D496,0),D$66,Primary_Loan_Amount),0)))</f>
        <v>-25482.250148050214</v>
      </c>
      <c r="I496" s="15">
        <f>-$G$52-SUM(H$449:H496)</f>
        <v>-23217621.943162207</v>
      </c>
      <c r="J496" s="24">
        <f t="shared" si="73"/>
        <v>0</v>
      </c>
      <c r="K496" s="51">
        <f>IF(L496=1,0,IF(SUM(K$449:K495)&gt;=Construction_Timeline,0,1))</f>
        <v>0</v>
      </c>
      <c r="L496" s="13">
        <f t="shared" si="75"/>
        <v>0</v>
      </c>
      <c r="M496" s="54">
        <f t="shared" si="70"/>
        <v>47453</v>
      </c>
      <c r="N496" s="7"/>
      <c r="O496" s="12"/>
      <c r="P496" s="98"/>
      <c r="Q496" s="98"/>
      <c r="R496" s="98"/>
      <c r="S496" s="98"/>
      <c r="T496" s="3"/>
      <c r="U496" s="98"/>
      <c r="V496" s="98"/>
      <c r="W496" s="98"/>
      <c r="X496" s="98"/>
    </row>
    <row r="497" spans="2:24">
      <c r="B497" s="7"/>
      <c r="C497" s="7">
        <v>48</v>
      </c>
      <c r="D497" s="24">
        <f t="shared" si="74"/>
        <v>0</v>
      </c>
      <c r="E497" s="103">
        <f t="shared" si="71"/>
        <v>0</v>
      </c>
      <c r="F497" s="53"/>
      <c r="G497" s="24">
        <f t="shared" si="72"/>
        <v>43650000</v>
      </c>
      <c r="H497" s="15">
        <f>IF(G497&gt;0,0,IF(AND(H496=0,SUM(K497:L497)=0),0,IF(D497=0,PPMT(D$65/12,COUNTIF(D$449:D497,0),D$66,Primary_Loan_Amount),0)))</f>
        <v>0</v>
      </c>
      <c r="I497" s="15">
        <f>-$G$52-SUM(H$449:H497)</f>
        <v>-23217621.943162207</v>
      </c>
      <c r="J497" s="24">
        <f t="shared" si="73"/>
        <v>20432378.056837793</v>
      </c>
      <c r="K497" s="51">
        <f>IF(L497=1,0,IF(SUM(K$449:K496)&gt;=Construction_Timeline,0,1))</f>
        <v>0</v>
      </c>
      <c r="L497" s="13">
        <f t="shared" si="75"/>
        <v>0</v>
      </c>
      <c r="M497" s="54">
        <f t="shared" si="70"/>
        <v>47484</v>
      </c>
      <c r="N497" s="7"/>
      <c r="O497" s="12"/>
      <c r="P497" s="98"/>
      <c r="Q497" s="98"/>
      <c r="R497" s="98"/>
      <c r="S497" s="98"/>
      <c r="T497" s="3"/>
      <c r="U497" s="98"/>
      <c r="V497" s="98"/>
      <c r="W497" s="98"/>
      <c r="X497" s="98"/>
    </row>
    <row r="498" spans="2:24">
      <c r="B498" s="7"/>
      <c r="C498" s="7">
        <v>49</v>
      </c>
      <c r="D498" s="24">
        <f t="shared" si="74"/>
        <v>0</v>
      </c>
      <c r="E498" s="103">
        <f t="shared" si="71"/>
        <v>0</v>
      </c>
      <c r="F498" s="53"/>
      <c r="G498" s="24">
        <f t="shared" si="72"/>
        <v>0</v>
      </c>
      <c r="H498" s="15">
        <f>IF(G498&gt;0,0,IF(AND(H497=0,SUM(K498:L498)=0),0,IF(D498=0,PPMT(D$65/12,COUNTIF(D$449:D498,0),D$66,Primary_Loan_Amount),0)))</f>
        <v>0</v>
      </c>
      <c r="I498" s="15">
        <f>-$G$52-SUM(H$449:H498)</f>
        <v>-23217621.943162207</v>
      </c>
      <c r="J498" s="24">
        <f t="shared" si="73"/>
        <v>0</v>
      </c>
      <c r="K498" s="51">
        <f>IF(L498=1,0,IF(SUM(K$449:K497)&gt;=Construction_Timeline,0,1))</f>
        <v>0</v>
      </c>
      <c r="L498" s="13">
        <f t="shared" si="75"/>
        <v>0</v>
      </c>
      <c r="M498" s="54">
        <f t="shared" si="70"/>
        <v>47515</v>
      </c>
      <c r="N498" s="7"/>
      <c r="O498" s="12"/>
      <c r="P498" s="98"/>
      <c r="Q498" s="98"/>
      <c r="R498" s="98"/>
      <c r="S498" s="98"/>
      <c r="T498" s="3"/>
      <c r="U498" s="98"/>
      <c r="V498" s="98"/>
      <c r="W498" s="98"/>
      <c r="X498" s="98"/>
    </row>
    <row r="499" spans="2:24">
      <c r="B499" s="7"/>
      <c r="C499" s="7">
        <v>50</v>
      </c>
      <c r="D499" s="24">
        <f t="shared" si="74"/>
        <v>0</v>
      </c>
      <c r="E499" s="103">
        <f t="shared" si="71"/>
        <v>0</v>
      </c>
      <c r="F499" s="53"/>
      <c r="G499" s="24">
        <f t="shared" si="72"/>
        <v>0</v>
      </c>
      <c r="H499" s="15">
        <f>IF(G499&gt;0,0,IF(AND(H498=0,SUM(K499:L499)=0),0,IF(D499=0,PPMT(D$65/12,COUNTIF(D$449:D499,0),D$66,Primary_Loan_Amount),0)))</f>
        <v>0</v>
      </c>
      <c r="I499" s="15">
        <f>-$G$52-SUM(H$449:H499)</f>
        <v>-23217621.943162207</v>
      </c>
      <c r="J499" s="24">
        <f t="shared" si="73"/>
        <v>0</v>
      </c>
      <c r="K499" s="51">
        <f>IF(L499=1,0,IF(SUM(K$449:K498)&gt;=Construction_Timeline,0,1))</f>
        <v>0</v>
      </c>
      <c r="L499" s="13">
        <f t="shared" si="75"/>
        <v>0</v>
      </c>
      <c r="M499" s="54">
        <f t="shared" si="70"/>
        <v>47543</v>
      </c>
      <c r="N499" s="7"/>
      <c r="O499" s="12"/>
      <c r="P499" s="98"/>
      <c r="Q499" s="98"/>
      <c r="R499" s="98"/>
      <c r="S499" s="98"/>
      <c r="T499" s="3"/>
      <c r="U499" s="98"/>
      <c r="V499" s="98"/>
      <c r="W499" s="98"/>
      <c r="X499" s="98"/>
    </row>
    <row r="500" spans="2:24">
      <c r="B500" s="7"/>
      <c r="C500" s="7">
        <v>51</v>
      </c>
      <c r="D500" s="24">
        <f t="shared" si="74"/>
        <v>0</v>
      </c>
      <c r="E500" s="103">
        <f t="shared" si="71"/>
        <v>0</v>
      </c>
      <c r="F500" s="53"/>
      <c r="G500" s="24">
        <f t="shared" si="72"/>
        <v>0</v>
      </c>
      <c r="H500" s="15">
        <f>IF(G500&gt;0,0,IF(AND(H499=0,SUM(K500:L500)=0),0,IF(D500=0,PPMT(D$65/12,COUNTIF(D$449:D500,0),D$66,Primary_Loan_Amount),0)))</f>
        <v>0</v>
      </c>
      <c r="I500" s="15">
        <f>-$G$52-SUM(H$449:H500)</f>
        <v>-23217621.943162207</v>
      </c>
      <c r="J500" s="24">
        <f t="shared" si="73"/>
        <v>0</v>
      </c>
      <c r="K500" s="51">
        <f>IF(L500=1,0,IF(SUM(K$449:K499)&gt;=Construction_Timeline,0,1))</f>
        <v>0</v>
      </c>
      <c r="L500" s="13">
        <f t="shared" si="75"/>
        <v>0</v>
      </c>
      <c r="M500" s="54">
        <f t="shared" si="70"/>
        <v>47574</v>
      </c>
      <c r="N500" s="7"/>
      <c r="O500" s="12"/>
      <c r="P500" s="98"/>
      <c r="Q500" s="98"/>
      <c r="R500" s="98"/>
      <c r="S500" s="98"/>
      <c r="T500" s="3"/>
      <c r="U500" s="98"/>
      <c r="V500" s="98"/>
      <c r="W500" s="98"/>
      <c r="X500" s="98"/>
    </row>
    <row r="501" spans="2:24">
      <c r="B501" s="7"/>
      <c r="C501" s="7">
        <v>52</v>
      </c>
      <c r="D501" s="24">
        <f t="shared" si="74"/>
        <v>0</v>
      </c>
      <c r="E501" s="103">
        <f t="shared" si="71"/>
        <v>0</v>
      </c>
      <c r="F501" s="53"/>
      <c r="G501" s="24">
        <f t="shared" si="72"/>
        <v>0</v>
      </c>
      <c r="H501" s="15">
        <f>IF(G501&gt;0,0,IF(AND(H500=0,SUM(K501:L501)=0),0,IF(D501=0,PPMT(D$65/12,COUNTIF(D$449:D501,0),D$66,Primary_Loan_Amount),0)))</f>
        <v>0</v>
      </c>
      <c r="I501" s="15">
        <f>-$G$52-SUM(H$449:H501)</f>
        <v>-23217621.943162207</v>
      </c>
      <c r="J501" s="24">
        <f t="shared" si="73"/>
        <v>0</v>
      </c>
      <c r="K501" s="51">
        <f>IF(L501=1,0,IF(SUM(K$449:K500)&gt;=Construction_Timeline,0,1))</f>
        <v>0</v>
      </c>
      <c r="L501" s="13">
        <f t="shared" si="75"/>
        <v>0</v>
      </c>
      <c r="M501" s="54">
        <f t="shared" si="70"/>
        <v>47604</v>
      </c>
      <c r="N501" s="7"/>
      <c r="O501" s="12"/>
      <c r="P501" s="98"/>
      <c r="Q501" s="98"/>
      <c r="R501" s="98"/>
      <c r="S501" s="98"/>
      <c r="T501" s="3"/>
      <c r="U501" s="98"/>
      <c r="V501" s="98"/>
      <c r="W501" s="98"/>
      <c r="X501" s="98"/>
    </row>
    <row r="502" spans="2:24">
      <c r="B502" s="7"/>
      <c r="C502" s="7">
        <v>53</v>
      </c>
      <c r="D502" s="24">
        <f t="shared" si="74"/>
        <v>0</v>
      </c>
      <c r="E502" s="103">
        <f t="shared" si="71"/>
        <v>0</v>
      </c>
      <c r="F502" s="53"/>
      <c r="G502" s="24">
        <f t="shared" si="72"/>
        <v>0</v>
      </c>
      <c r="H502" s="15">
        <f>IF(G502&gt;0,0,IF(AND(H501=0,SUM(K502:L502)=0),0,IF(D502=0,PPMT(D$65/12,COUNTIF(D$449:D502,0),D$66,Primary_Loan_Amount),0)))</f>
        <v>0</v>
      </c>
      <c r="I502" s="15">
        <f>-$G$52-SUM(H$449:H502)</f>
        <v>-23217621.943162207</v>
      </c>
      <c r="J502" s="24">
        <f t="shared" si="73"/>
        <v>0</v>
      </c>
      <c r="K502" s="51">
        <f>IF(L502=1,0,IF(SUM(K$449:K501)&gt;=Construction_Timeline,0,1))</f>
        <v>0</v>
      </c>
      <c r="L502" s="13">
        <f t="shared" si="75"/>
        <v>0</v>
      </c>
      <c r="M502" s="54">
        <f t="shared" si="70"/>
        <v>47635</v>
      </c>
      <c r="N502" s="7"/>
      <c r="O502" s="12"/>
      <c r="P502" s="98"/>
      <c r="Q502" s="98"/>
      <c r="R502" s="98"/>
      <c r="S502" s="98"/>
      <c r="T502" s="3"/>
      <c r="U502" s="98"/>
      <c r="V502" s="98"/>
      <c r="W502" s="98"/>
      <c r="X502" s="98"/>
    </row>
    <row r="503" spans="2:24">
      <c r="B503" s="7"/>
      <c r="C503" s="7">
        <v>54</v>
      </c>
      <c r="D503" s="24">
        <f t="shared" si="74"/>
        <v>0</v>
      </c>
      <c r="E503" s="103">
        <f t="shared" si="71"/>
        <v>0</v>
      </c>
      <c r="F503" s="53"/>
      <c r="G503" s="24">
        <f t="shared" si="72"/>
        <v>0</v>
      </c>
      <c r="H503" s="15">
        <f>IF(G503&gt;0,0,IF(AND(H502=0,SUM(K503:L503)=0),0,IF(D503=0,PPMT(D$65/12,COUNTIF(D$449:D503,0),D$66,Primary_Loan_Amount),0)))</f>
        <v>0</v>
      </c>
      <c r="I503" s="15">
        <f>-$G$52-SUM(H$449:H503)</f>
        <v>-23217621.943162207</v>
      </c>
      <c r="J503" s="24">
        <f t="shared" si="73"/>
        <v>0</v>
      </c>
      <c r="K503" s="51">
        <f>IF(L503=1,0,IF(SUM(K$449:K502)&gt;=Construction_Timeline,0,1))</f>
        <v>0</v>
      </c>
      <c r="L503" s="13">
        <f t="shared" si="75"/>
        <v>0</v>
      </c>
      <c r="M503" s="54">
        <f t="shared" si="70"/>
        <v>47665</v>
      </c>
      <c r="N503" s="7"/>
      <c r="O503" s="12"/>
      <c r="P503" s="98"/>
      <c r="Q503" s="98"/>
      <c r="R503" s="98"/>
      <c r="S503" s="98"/>
      <c r="T503" s="3"/>
      <c r="U503" s="98"/>
      <c r="V503" s="98"/>
      <c r="W503" s="98"/>
      <c r="X503" s="98"/>
    </row>
    <row r="504" spans="2:24">
      <c r="B504" s="7"/>
      <c r="C504" s="7">
        <v>55</v>
      </c>
      <c r="D504" s="24">
        <f t="shared" si="74"/>
        <v>0</v>
      </c>
      <c r="E504" s="103">
        <f t="shared" si="71"/>
        <v>0</v>
      </c>
      <c r="F504" s="53"/>
      <c r="G504" s="24">
        <f t="shared" si="72"/>
        <v>0</v>
      </c>
      <c r="H504" s="15">
        <f>IF(G504&gt;0,0,IF(AND(H503=0,SUM(K504:L504)=0),0,IF(D504=0,PPMT(D$65/12,COUNTIF(D$449:D504,0),D$66,Primary_Loan_Amount),0)))</f>
        <v>0</v>
      </c>
      <c r="I504" s="15">
        <f>-$G$52-SUM(H$449:H504)</f>
        <v>-23217621.943162207</v>
      </c>
      <c r="J504" s="24">
        <f t="shared" si="73"/>
        <v>0</v>
      </c>
      <c r="K504" s="51">
        <f>IF(L504=1,0,IF(SUM(K$449:K503)&gt;=Construction_Timeline,0,1))</f>
        <v>0</v>
      </c>
      <c r="L504" s="13">
        <f t="shared" si="75"/>
        <v>0</v>
      </c>
      <c r="M504" s="54">
        <f t="shared" si="70"/>
        <v>47696</v>
      </c>
      <c r="N504" s="7"/>
      <c r="O504" s="12"/>
      <c r="P504" s="98"/>
      <c r="Q504" s="98"/>
      <c r="R504" s="98"/>
      <c r="S504" s="98"/>
      <c r="T504" s="3"/>
      <c r="U504" s="98"/>
      <c r="V504" s="98"/>
      <c r="W504" s="98"/>
      <c r="X504" s="98"/>
    </row>
    <row r="505" spans="2:24">
      <c r="B505" s="7"/>
      <c r="C505" s="7">
        <v>56</v>
      </c>
      <c r="D505" s="24">
        <f t="shared" si="74"/>
        <v>0</v>
      </c>
      <c r="E505" s="103">
        <f t="shared" si="71"/>
        <v>0</v>
      </c>
      <c r="F505" s="53"/>
      <c r="G505" s="24">
        <f t="shared" si="72"/>
        <v>0</v>
      </c>
      <c r="H505" s="15">
        <f>IF(G505&gt;0,0,IF(AND(H504=0,SUM(K505:L505)=0),0,IF(D505=0,PPMT(D$65/12,COUNTIF(D$449:D505,0),D$66,Primary_Loan_Amount),0)))</f>
        <v>0</v>
      </c>
      <c r="I505" s="15">
        <f>-$G$52-SUM(H$449:H505)</f>
        <v>-23217621.943162207</v>
      </c>
      <c r="J505" s="24">
        <f t="shared" si="73"/>
        <v>0</v>
      </c>
      <c r="K505" s="51">
        <f>IF(L505=1,0,IF(SUM(K$449:K504)&gt;=Construction_Timeline,0,1))</f>
        <v>0</v>
      </c>
      <c r="L505" s="13">
        <f t="shared" si="75"/>
        <v>0</v>
      </c>
      <c r="M505" s="54">
        <f t="shared" si="70"/>
        <v>47727</v>
      </c>
      <c r="N505" s="7"/>
      <c r="O505" s="12"/>
      <c r="P505" s="98"/>
      <c r="Q505" s="98"/>
      <c r="R505" s="98"/>
      <c r="S505" s="98"/>
      <c r="T505" s="3"/>
      <c r="U505" s="98"/>
      <c r="V505" s="98"/>
      <c r="W505" s="98"/>
      <c r="X505" s="98"/>
    </row>
    <row r="506" spans="2:24">
      <c r="B506" s="7"/>
      <c r="C506" s="7">
        <v>57</v>
      </c>
      <c r="D506" s="24">
        <f t="shared" si="74"/>
        <v>0</v>
      </c>
      <c r="E506" s="103">
        <f t="shared" si="71"/>
        <v>0</v>
      </c>
      <c r="F506" s="53"/>
      <c r="G506" s="24">
        <f t="shared" si="72"/>
        <v>0</v>
      </c>
      <c r="H506" s="15">
        <f>IF(G506&gt;0,0,IF(AND(H505=0,SUM(K506:L506)=0),0,IF(D506=0,PPMT(D$65/12,COUNTIF(D$449:D506,0),D$66,Primary_Loan_Amount),0)))</f>
        <v>0</v>
      </c>
      <c r="I506" s="15">
        <f>-$G$52-SUM(H$449:H506)</f>
        <v>-23217621.943162207</v>
      </c>
      <c r="J506" s="24">
        <f t="shared" si="73"/>
        <v>0</v>
      </c>
      <c r="K506" s="51">
        <f>IF(L506=1,0,IF(SUM(K$449:K505)&gt;=Construction_Timeline,0,1))</f>
        <v>0</v>
      </c>
      <c r="L506" s="13">
        <f t="shared" si="75"/>
        <v>0</v>
      </c>
      <c r="M506" s="54">
        <f t="shared" si="70"/>
        <v>47757</v>
      </c>
      <c r="N506" s="7"/>
      <c r="O506" s="12"/>
      <c r="P506" s="98"/>
      <c r="Q506" s="98"/>
      <c r="R506" s="98"/>
      <c r="S506" s="98"/>
      <c r="T506" s="3"/>
      <c r="U506" s="98"/>
      <c r="V506" s="98"/>
      <c r="W506" s="98"/>
      <c r="X506" s="98"/>
    </row>
    <row r="507" spans="2:24">
      <c r="B507" s="7"/>
      <c r="C507" s="7">
        <v>58</v>
      </c>
      <c r="D507" s="24">
        <f t="shared" si="74"/>
        <v>0</v>
      </c>
      <c r="E507" s="103">
        <f t="shared" si="71"/>
        <v>0</v>
      </c>
      <c r="F507" s="53"/>
      <c r="G507" s="24">
        <f t="shared" si="72"/>
        <v>0</v>
      </c>
      <c r="H507" s="15">
        <f>IF(G507&gt;0,0,IF(AND(H506=0,SUM(K507:L507)=0),0,IF(D507=0,PPMT(D$65/12,COUNTIF(D$449:D507,0),D$66,Primary_Loan_Amount),0)))</f>
        <v>0</v>
      </c>
      <c r="I507" s="15">
        <f>-$G$52-SUM(H$449:H507)</f>
        <v>-23217621.943162207</v>
      </c>
      <c r="J507" s="24">
        <f t="shared" si="73"/>
        <v>0</v>
      </c>
      <c r="K507" s="51">
        <f>IF(L507=1,0,IF(SUM(K$449:K506)&gt;=Construction_Timeline,0,1))</f>
        <v>0</v>
      </c>
      <c r="L507" s="13">
        <f t="shared" si="75"/>
        <v>0</v>
      </c>
      <c r="M507" s="54">
        <f t="shared" si="70"/>
        <v>47788</v>
      </c>
      <c r="N507" s="7"/>
      <c r="O507" s="12"/>
      <c r="P507" s="98"/>
      <c r="Q507" s="98"/>
      <c r="R507" s="98"/>
      <c r="S507" s="98"/>
      <c r="T507" s="3"/>
      <c r="U507" s="98"/>
      <c r="V507" s="98"/>
      <c r="W507" s="98"/>
      <c r="X507" s="98"/>
    </row>
    <row r="508" spans="2:24">
      <c r="B508" s="7"/>
      <c r="C508" s="7">
        <v>59</v>
      </c>
      <c r="D508" s="24">
        <f t="shared" si="74"/>
        <v>0</v>
      </c>
      <c r="E508" s="103">
        <f t="shared" si="71"/>
        <v>0</v>
      </c>
      <c r="F508" s="53"/>
      <c r="G508" s="24">
        <f t="shared" si="72"/>
        <v>0</v>
      </c>
      <c r="H508" s="15">
        <f>IF(G508&gt;0,0,IF(AND(H507=0,SUM(K508:L508)=0),0,IF(D508=0,PPMT(D$65/12,COUNTIF(D$449:D508,0),D$66,Primary_Loan_Amount),0)))</f>
        <v>0</v>
      </c>
      <c r="I508" s="15">
        <f>-$G$52-SUM(H$449:H508)</f>
        <v>-23217621.943162207</v>
      </c>
      <c r="J508" s="24">
        <f t="shared" si="73"/>
        <v>0</v>
      </c>
      <c r="K508" s="51">
        <f>IF(L508=1,0,IF(SUM(K$449:K507)&gt;=Construction_Timeline,0,1))</f>
        <v>0</v>
      </c>
      <c r="L508" s="13">
        <f t="shared" si="75"/>
        <v>0</v>
      </c>
      <c r="M508" s="54">
        <f t="shared" si="70"/>
        <v>47818</v>
      </c>
      <c r="N508" s="7"/>
      <c r="O508" s="12"/>
      <c r="P508" s="98"/>
      <c r="Q508" s="98"/>
      <c r="R508" s="98"/>
      <c r="S508" s="98"/>
      <c r="T508" s="3"/>
      <c r="U508" s="98"/>
      <c r="V508" s="98"/>
      <c r="W508" s="98"/>
      <c r="X508" s="98"/>
    </row>
    <row r="509" spans="2:24">
      <c r="B509" s="7"/>
      <c r="C509" s="7">
        <v>60</v>
      </c>
      <c r="D509" s="24">
        <f t="shared" si="74"/>
        <v>0</v>
      </c>
      <c r="E509" s="103">
        <f t="shared" si="71"/>
        <v>0</v>
      </c>
      <c r="F509" s="53"/>
      <c r="G509" s="24">
        <f t="shared" si="72"/>
        <v>0</v>
      </c>
      <c r="H509" s="15">
        <f>IF(G509&gt;0,0,IF(AND(H508=0,SUM(K509:L509)=0),0,IF(D509=0,PPMT(D$65/12,COUNTIF(D$449:D509,0),D$66,Primary_Loan_Amount),0)))</f>
        <v>0</v>
      </c>
      <c r="I509" s="15">
        <f>-$G$52-SUM(H$449:H509)</f>
        <v>-23217621.943162207</v>
      </c>
      <c r="J509" s="24">
        <f t="shared" si="73"/>
        <v>0</v>
      </c>
      <c r="K509" s="51">
        <f>IF(L509=1,0,IF(SUM(K$449:K508)&gt;=Construction_Timeline,0,1))</f>
        <v>0</v>
      </c>
      <c r="L509" s="13">
        <f t="shared" si="75"/>
        <v>0</v>
      </c>
      <c r="M509" s="54">
        <f t="shared" si="70"/>
        <v>47849</v>
      </c>
      <c r="N509" s="7"/>
      <c r="O509" s="12"/>
      <c r="P509" s="98"/>
      <c r="Q509" s="98"/>
      <c r="R509" s="98"/>
      <c r="S509" s="98"/>
      <c r="T509" s="3"/>
      <c r="U509" s="98"/>
      <c r="V509" s="98"/>
      <c r="W509" s="98"/>
      <c r="X509" s="98"/>
    </row>
    <row r="510" spans="2:24">
      <c r="B510" s="7"/>
      <c r="C510" s="7">
        <v>61</v>
      </c>
      <c r="D510" s="24">
        <f t="shared" si="74"/>
        <v>0</v>
      </c>
      <c r="E510" s="103">
        <f t="shared" si="71"/>
        <v>0</v>
      </c>
      <c r="F510" s="53"/>
      <c r="G510" s="24">
        <f t="shared" si="72"/>
        <v>0</v>
      </c>
      <c r="H510" s="15">
        <f>IF(G510&gt;0,0,IF(AND(H509=0,SUM(K510:L510)=0),0,IF(D510=0,PPMT(D$65/12,COUNTIF(D$449:D510,0),D$66,Primary_Loan_Amount),0)))</f>
        <v>0</v>
      </c>
      <c r="I510" s="15">
        <f>-$G$52-SUM(H$449:H510)</f>
        <v>-23217621.943162207</v>
      </c>
      <c r="J510" s="24">
        <f t="shared" si="73"/>
        <v>0</v>
      </c>
      <c r="K510" s="51">
        <f>IF(L510=1,0,IF(SUM(K$449:K509)&gt;=Construction_Timeline,0,1))</f>
        <v>0</v>
      </c>
      <c r="L510" s="13">
        <f t="shared" si="75"/>
        <v>0</v>
      </c>
      <c r="M510" s="54">
        <f t="shared" si="70"/>
        <v>47880</v>
      </c>
      <c r="N510" s="7"/>
      <c r="O510" s="12"/>
      <c r="P510" s="98"/>
      <c r="Q510" s="98"/>
      <c r="R510" s="98"/>
      <c r="S510" s="98"/>
      <c r="T510" s="3"/>
      <c r="U510" s="98"/>
      <c r="V510" s="98"/>
      <c r="W510" s="98"/>
      <c r="X510" s="98"/>
    </row>
    <row r="511" spans="2:24">
      <c r="B511" s="7"/>
      <c r="C511" s="7">
        <v>62</v>
      </c>
      <c r="D511" s="24">
        <f t="shared" si="74"/>
        <v>0</v>
      </c>
      <c r="E511" s="103">
        <f t="shared" si="71"/>
        <v>0</v>
      </c>
      <c r="F511" s="53"/>
      <c r="G511" s="24">
        <f t="shared" si="72"/>
        <v>0</v>
      </c>
      <c r="H511" s="15">
        <f>IF(G511&gt;0,0,IF(AND(H510=0,SUM(K511:L511)=0),0,IF(D511=0,PPMT(D$65/12,COUNTIF(D$449:D511,0),D$66,Primary_Loan_Amount),0)))</f>
        <v>0</v>
      </c>
      <c r="I511" s="15">
        <f>-$G$52-SUM(H$449:H511)</f>
        <v>-23217621.943162207</v>
      </c>
      <c r="J511" s="24">
        <f t="shared" si="73"/>
        <v>0</v>
      </c>
      <c r="K511" s="51">
        <f>IF(L511=1,0,IF(SUM(K$449:K510)&gt;=Construction_Timeline,0,1))</f>
        <v>0</v>
      </c>
      <c r="L511" s="13">
        <f t="shared" si="75"/>
        <v>0</v>
      </c>
      <c r="M511" s="54">
        <f t="shared" si="70"/>
        <v>47908</v>
      </c>
      <c r="N511" s="7"/>
      <c r="O511" s="12"/>
      <c r="P511" s="98"/>
      <c r="Q511" s="98"/>
      <c r="R511" s="98"/>
      <c r="S511" s="98"/>
      <c r="T511" s="3"/>
      <c r="U511" s="98"/>
      <c r="V511" s="98"/>
      <c r="W511" s="98"/>
      <c r="X511" s="98"/>
    </row>
    <row r="512" spans="2:24">
      <c r="B512" s="7"/>
      <c r="C512" s="7">
        <v>63</v>
      </c>
      <c r="D512" s="24">
        <f t="shared" si="74"/>
        <v>0</v>
      </c>
      <c r="E512" s="103">
        <f t="shared" si="71"/>
        <v>0</v>
      </c>
      <c r="F512" s="53"/>
      <c r="G512" s="24">
        <f t="shared" si="72"/>
        <v>0</v>
      </c>
      <c r="H512" s="15">
        <f>IF(G512&gt;0,0,IF(AND(H511=0,SUM(K512:L512)=0),0,IF(D512=0,PPMT(D$65/12,COUNTIF(D$449:D512,0),D$66,Primary_Loan_Amount),0)))</f>
        <v>0</v>
      </c>
      <c r="I512" s="15">
        <f>-$G$52-SUM(H$449:H512)</f>
        <v>-23217621.943162207</v>
      </c>
      <c r="J512" s="24">
        <f t="shared" si="73"/>
        <v>0</v>
      </c>
      <c r="K512" s="51">
        <f>IF(L512=1,0,IF(SUM(K$449:K511)&gt;=Construction_Timeline,0,1))</f>
        <v>0</v>
      </c>
      <c r="L512" s="13">
        <f t="shared" si="75"/>
        <v>0</v>
      </c>
      <c r="M512" s="54">
        <f t="shared" si="70"/>
        <v>47939</v>
      </c>
      <c r="N512" s="7"/>
      <c r="O512" s="12"/>
      <c r="P512" s="98"/>
      <c r="Q512" s="98"/>
      <c r="R512" s="98"/>
      <c r="S512" s="98"/>
      <c r="T512" s="3"/>
      <c r="U512" s="98"/>
      <c r="V512" s="98"/>
      <c r="W512" s="98"/>
      <c r="X512" s="98"/>
    </row>
    <row r="513" spans="2:24">
      <c r="B513" s="7"/>
      <c r="C513" s="7">
        <v>64</v>
      </c>
      <c r="D513" s="24">
        <f t="shared" si="74"/>
        <v>0</v>
      </c>
      <c r="E513" s="103">
        <f t="shared" si="71"/>
        <v>0</v>
      </c>
      <c r="F513" s="53"/>
      <c r="G513" s="24">
        <f t="shared" ref="G513:G544" si="76">IF(C513=SUM(Month_of_Sale,PreDev_Timeline,Construction_Timeline),Incentive_Sales_Price*(1-D$64),0)</f>
        <v>0</v>
      </c>
      <c r="H513" s="15">
        <f>IF(G513&gt;0,0,IF(AND(H512=0,SUM(K513:L513)=0),0,IF(D513=0,PPMT(D$65/12,COUNTIF(D$449:D513,0),D$66,Primary_Loan_Amount),0)))</f>
        <v>0</v>
      </c>
      <c r="I513" s="15">
        <f>-$G$52-SUM(H$449:H513)</f>
        <v>-23217621.943162207</v>
      </c>
      <c r="J513" s="24">
        <f t="shared" ref="J513:J544" si="77">SUM(D513,F513,G513)+IF(G513&gt;0,I513)</f>
        <v>0</v>
      </c>
      <c r="K513" s="51">
        <f>IF(L513=1,0,IF(SUM(K$449:K512)&gt;=Construction_Timeline,0,1))</f>
        <v>0</v>
      </c>
      <c r="L513" s="13">
        <f t="shared" si="75"/>
        <v>0</v>
      </c>
      <c r="M513" s="54">
        <f t="shared" si="70"/>
        <v>47969</v>
      </c>
      <c r="N513" s="7"/>
      <c r="O513" s="12"/>
      <c r="P513" s="98"/>
      <c r="Q513" s="98"/>
      <c r="R513" s="98"/>
      <c r="S513" s="98"/>
      <c r="T513" s="3"/>
      <c r="U513" s="98"/>
      <c r="V513" s="98"/>
      <c r="W513" s="98"/>
      <c r="X513" s="98"/>
    </row>
    <row r="514" spans="2:24">
      <c r="B514" s="7"/>
      <c r="C514" s="7">
        <v>65</v>
      </c>
      <c r="D514" s="24">
        <f t="shared" ref="D514:D545" si="78">IF(AND(C513&gt;0,E513&gt;=D513),E513,IF(L514=1,-Incentive_Pre_Development_Costs/PreDev_Timeline,IF(K514=1,MAX(E513,-G$52/Construction_Timeline),0)))</f>
        <v>0</v>
      </c>
      <c r="E514" s="103">
        <f t="shared" si="71"/>
        <v>0</v>
      </c>
      <c r="F514" s="53"/>
      <c r="G514" s="24">
        <f t="shared" si="76"/>
        <v>0</v>
      </c>
      <c r="H514" s="15">
        <f>IF(G514&gt;0,0,IF(AND(H513=0,SUM(K514:L514)=0),0,IF(D514=0,PPMT(D$65/12,COUNTIF(D$449:D514,0),D$66,Primary_Loan_Amount),0)))</f>
        <v>0</v>
      </c>
      <c r="I514" s="15">
        <f>-$G$52-SUM(H$449:H514)</f>
        <v>-23217621.943162207</v>
      </c>
      <c r="J514" s="24">
        <f t="shared" si="77"/>
        <v>0</v>
      </c>
      <c r="K514" s="51">
        <f>IF(L514=1,0,IF(SUM(K$449:K513)&gt;=Construction_Timeline,0,1))</f>
        <v>0</v>
      </c>
      <c r="L514" s="13">
        <f t="shared" ref="L514:L545" si="79">IF(C514&lt;=PreDev_Timeline,1,0)</f>
        <v>0</v>
      </c>
      <c r="M514" s="54">
        <f t="shared" si="70"/>
        <v>48000</v>
      </c>
      <c r="N514" s="7"/>
      <c r="O514" s="12"/>
      <c r="P514" s="98"/>
      <c r="Q514" s="98"/>
      <c r="R514" s="98"/>
      <c r="S514" s="98"/>
      <c r="T514" s="3"/>
      <c r="U514" s="98"/>
      <c r="V514" s="98"/>
      <c r="W514" s="98"/>
      <c r="X514" s="98"/>
    </row>
    <row r="515" spans="2:24">
      <c r="B515" s="7"/>
      <c r="C515" s="7">
        <v>66</v>
      </c>
      <c r="D515" s="24">
        <f t="shared" si="78"/>
        <v>0</v>
      </c>
      <c r="E515" s="103">
        <f t="shared" si="71"/>
        <v>0</v>
      </c>
      <c r="F515" s="53"/>
      <c r="G515" s="24">
        <f t="shared" si="76"/>
        <v>0</v>
      </c>
      <c r="H515" s="15">
        <f>IF(G515&gt;0,0,IF(AND(H514=0,SUM(K515:L515)=0),0,IF(D515=0,PPMT(D$65/12,COUNTIF(D$449:D515,0),D$66,Primary_Loan_Amount),0)))</f>
        <v>0</v>
      </c>
      <c r="I515" s="15">
        <f>-$G$52-SUM(H$449:H515)</f>
        <v>-23217621.943162207</v>
      </c>
      <c r="J515" s="24">
        <f t="shared" si="77"/>
        <v>0</v>
      </c>
      <c r="K515" s="51">
        <f>IF(L515=1,0,IF(SUM(K$449:K514)&gt;=Construction_Timeline,0,1))</f>
        <v>0</v>
      </c>
      <c r="L515" s="13">
        <f t="shared" si="79"/>
        <v>0</v>
      </c>
      <c r="M515" s="54">
        <f t="shared" ref="M515:M578" si="80">EDATE(M514,1)</f>
        <v>48030</v>
      </c>
      <c r="N515" s="7"/>
      <c r="O515" s="12"/>
      <c r="P515" s="98"/>
      <c r="Q515" s="98"/>
      <c r="R515" s="98"/>
      <c r="S515" s="98"/>
      <c r="T515" s="3"/>
      <c r="U515" s="98"/>
      <c r="V515" s="98"/>
      <c r="W515" s="98"/>
      <c r="X515" s="98"/>
    </row>
    <row r="516" spans="2:24">
      <c r="B516" s="7"/>
      <c r="C516" s="7">
        <v>67</v>
      </c>
      <c r="D516" s="24">
        <f t="shared" si="78"/>
        <v>0</v>
      </c>
      <c r="E516" s="103">
        <f t="shared" si="71"/>
        <v>0</v>
      </c>
      <c r="F516" s="53"/>
      <c r="G516" s="24">
        <f t="shared" si="76"/>
        <v>0</v>
      </c>
      <c r="H516" s="15">
        <f>IF(G516&gt;0,0,IF(AND(H515=0,SUM(K516:L516)=0),0,IF(D516=0,PPMT(D$65/12,COUNTIF(D$449:D516,0),D$66,Primary_Loan_Amount),0)))</f>
        <v>0</v>
      </c>
      <c r="I516" s="15">
        <f>-$G$52-SUM(H$449:H516)</f>
        <v>-23217621.943162207</v>
      </c>
      <c r="J516" s="24">
        <f t="shared" si="77"/>
        <v>0</v>
      </c>
      <c r="K516" s="51">
        <f>IF(L516=1,0,IF(SUM(K$449:K515)&gt;=Construction_Timeline,0,1))</f>
        <v>0</v>
      </c>
      <c r="L516" s="13">
        <f t="shared" si="79"/>
        <v>0</v>
      </c>
      <c r="M516" s="54">
        <f t="shared" si="80"/>
        <v>48061</v>
      </c>
      <c r="N516" s="7"/>
      <c r="O516" s="12"/>
      <c r="P516" s="98"/>
      <c r="Q516" s="98"/>
      <c r="R516" s="98"/>
      <c r="S516" s="98"/>
      <c r="T516" s="3"/>
      <c r="U516" s="98"/>
      <c r="V516" s="98"/>
      <c r="W516" s="98"/>
      <c r="X516" s="98"/>
    </row>
    <row r="517" spans="2:24">
      <c r="B517" s="7"/>
      <c r="C517" s="7">
        <v>68</v>
      </c>
      <c r="D517" s="24">
        <f t="shared" si="78"/>
        <v>0</v>
      </c>
      <c r="E517" s="103">
        <f t="shared" si="71"/>
        <v>0</v>
      </c>
      <c r="F517" s="53"/>
      <c r="G517" s="24">
        <f t="shared" si="76"/>
        <v>0</v>
      </c>
      <c r="H517" s="15">
        <f>IF(G517&gt;0,0,IF(AND(H516=0,SUM(K517:L517)=0),0,IF(D517=0,PPMT(D$65/12,COUNTIF(D$449:D517,0),D$66,Primary_Loan_Amount),0)))</f>
        <v>0</v>
      </c>
      <c r="I517" s="15">
        <f>-$G$52-SUM(H$449:H517)</f>
        <v>-23217621.943162207</v>
      </c>
      <c r="J517" s="24">
        <f t="shared" si="77"/>
        <v>0</v>
      </c>
      <c r="K517" s="51">
        <f>IF(L517=1,0,IF(SUM(K$449:K516)&gt;=Construction_Timeline,0,1))</f>
        <v>0</v>
      </c>
      <c r="L517" s="13">
        <f t="shared" si="79"/>
        <v>0</v>
      </c>
      <c r="M517" s="54">
        <f t="shared" si="80"/>
        <v>48092</v>
      </c>
      <c r="N517" s="7"/>
      <c r="O517" s="12"/>
      <c r="P517" s="98"/>
      <c r="Q517" s="98"/>
      <c r="R517" s="98"/>
      <c r="S517" s="98"/>
      <c r="T517" s="3"/>
      <c r="U517" s="98"/>
      <c r="V517" s="98"/>
      <c r="W517" s="98"/>
      <c r="X517" s="98"/>
    </row>
    <row r="518" spans="2:24">
      <c r="B518" s="7"/>
      <c r="C518" s="7">
        <v>69</v>
      </c>
      <c r="D518" s="24">
        <f t="shared" si="78"/>
        <v>0</v>
      </c>
      <c r="E518" s="103">
        <f t="shared" si="71"/>
        <v>0</v>
      </c>
      <c r="F518" s="53"/>
      <c r="G518" s="24">
        <f t="shared" si="76"/>
        <v>0</v>
      </c>
      <c r="H518" s="15">
        <f>IF(G518&gt;0,0,IF(AND(H517=0,SUM(K518:L518)=0),0,IF(D518=0,PPMT(D$65/12,COUNTIF(D$449:D518,0),D$66,Primary_Loan_Amount),0)))</f>
        <v>0</v>
      </c>
      <c r="I518" s="15">
        <f>-$G$52-SUM(H$449:H518)</f>
        <v>-23217621.943162207</v>
      </c>
      <c r="J518" s="24">
        <f t="shared" si="77"/>
        <v>0</v>
      </c>
      <c r="K518" s="51">
        <f>IF(L518=1,0,IF(SUM(K$449:K517)&gt;=Construction_Timeline,0,1))</f>
        <v>0</v>
      </c>
      <c r="L518" s="13">
        <f t="shared" si="79"/>
        <v>0</v>
      </c>
      <c r="M518" s="54">
        <f t="shared" si="80"/>
        <v>48122</v>
      </c>
      <c r="N518" s="7"/>
      <c r="O518" s="12"/>
      <c r="P518" s="98"/>
      <c r="Q518" s="98"/>
      <c r="R518" s="98"/>
      <c r="S518" s="98"/>
      <c r="T518" s="3"/>
      <c r="U518" s="98"/>
      <c r="V518" s="98"/>
      <c r="W518" s="98"/>
      <c r="X518" s="98"/>
    </row>
    <row r="519" spans="2:24">
      <c r="B519" s="7"/>
      <c r="C519" s="7">
        <v>70</v>
      </c>
      <c r="D519" s="24">
        <f t="shared" si="78"/>
        <v>0</v>
      </c>
      <c r="E519" s="103">
        <f t="shared" si="71"/>
        <v>0</v>
      </c>
      <c r="F519" s="53"/>
      <c r="G519" s="24">
        <f t="shared" si="76"/>
        <v>0</v>
      </c>
      <c r="H519" s="15">
        <f>IF(G519&gt;0,0,IF(AND(H518=0,SUM(K519:L519)=0),0,IF(D519=0,PPMT(D$65/12,COUNTIF(D$449:D519,0),D$66,Primary_Loan_Amount),0)))</f>
        <v>0</v>
      </c>
      <c r="I519" s="15">
        <f>-$G$52-SUM(H$449:H519)</f>
        <v>-23217621.943162207</v>
      </c>
      <c r="J519" s="24">
        <f t="shared" si="77"/>
        <v>0</v>
      </c>
      <c r="K519" s="51">
        <f>IF(L519=1,0,IF(SUM(K$449:K518)&gt;=Construction_Timeline,0,1))</f>
        <v>0</v>
      </c>
      <c r="L519" s="13">
        <f t="shared" si="79"/>
        <v>0</v>
      </c>
      <c r="M519" s="54">
        <f t="shared" si="80"/>
        <v>48153</v>
      </c>
      <c r="N519" s="7"/>
      <c r="O519" s="12"/>
      <c r="P519" s="98"/>
      <c r="Q519" s="98"/>
      <c r="R519" s="98"/>
      <c r="S519" s="98"/>
      <c r="T519" s="3"/>
      <c r="U519" s="98"/>
      <c r="V519" s="98"/>
      <c r="W519" s="98"/>
      <c r="X519" s="98"/>
    </row>
    <row r="520" spans="2:24">
      <c r="B520" s="7"/>
      <c r="C520" s="7">
        <v>71</v>
      </c>
      <c r="D520" s="24">
        <f t="shared" si="78"/>
        <v>0</v>
      </c>
      <c r="E520" s="103">
        <f t="shared" si="71"/>
        <v>0</v>
      </c>
      <c r="F520" s="53"/>
      <c r="G520" s="24">
        <f t="shared" si="76"/>
        <v>0</v>
      </c>
      <c r="H520" s="15">
        <f>IF(G520&gt;0,0,IF(AND(H519=0,SUM(K520:L520)=0),0,IF(D520=0,PPMT(D$65/12,COUNTIF(D$449:D520,0),D$66,Primary_Loan_Amount),0)))</f>
        <v>0</v>
      </c>
      <c r="I520" s="15">
        <f>-$G$52-SUM(H$449:H520)</f>
        <v>-23217621.943162207</v>
      </c>
      <c r="J520" s="24">
        <f t="shared" si="77"/>
        <v>0</v>
      </c>
      <c r="K520" s="51">
        <f>IF(L520=1,0,IF(SUM(K$449:K519)&gt;=Construction_Timeline,0,1))</f>
        <v>0</v>
      </c>
      <c r="L520" s="13">
        <f t="shared" si="79"/>
        <v>0</v>
      </c>
      <c r="M520" s="54">
        <f t="shared" si="80"/>
        <v>48183</v>
      </c>
      <c r="N520" s="7"/>
      <c r="O520" s="12"/>
      <c r="P520" s="98"/>
      <c r="Q520" s="98"/>
      <c r="R520" s="98"/>
      <c r="S520" s="98"/>
      <c r="T520" s="3"/>
      <c r="U520" s="98"/>
      <c r="V520" s="98"/>
      <c r="W520" s="98"/>
      <c r="X520" s="98"/>
    </row>
    <row r="521" spans="2:24">
      <c r="B521" s="7"/>
      <c r="C521" s="7">
        <v>72</v>
      </c>
      <c r="D521" s="24">
        <f t="shared" si="78"/>
        <v>0</v>
      </c>
      <c r="E521" s="103">
        <f t="shared" si="71"/>
        <v>0</v>
      </c>
      <c r="F521" s="53"/>
      <c r="G521" s="24">
        <f t="shared" si="76"/>
        <v>0</v>
      </c>
      <c r="H521" s="15">
        <f>IF(G521&gt;0,0,IF(AND(H520=0,SUM(K521:L521)=0),0,IF(D521=0,PPMT(D$65/12,COUNTIF(D$449:D521,0),D$66,Primary_Loan_Amount),0)))</f>
        <v>0</v>
      </c>
      <c r="I521" s="15">
        <f>-$G$52-SUM(H$449:H521)</f>
        <v>-23217621.943162207</v>
      </c>
      <c r="J521" s="24">
        <f t="shared" si="77"/>
        <v>0</v>
      </c>
      <c r="K521" s="51">
        <f>IF(L521=1,0,IF(SUM(K$449:K520)&gt;=Construction_Timeline,0,1))</f>
        <v>0</v>
      </c>
      <c r="L521" s="13">
        <f t="shared" si="79"/>
        <v>0</v>
      </c>
      <c r="M521" s="54">
        <f t="shared" si="80"/>
        <v>48214</v>
      </c>
      <c r="N521" s="7"/>
      <c r="O521" s="12"/>
      <c r="P521" s="98"/>
      <c r="Q521" s="98"/>
      <c r="R521" s="98"/>
      <c r="S521" s="98"/>
      <c r="T521" s="3"/>
      <c r="U521" s="98"/>
      <c r="V521" s="98"/>
      <c r="W521" s="98"/>
      <c r="X521" s="98"/>
    </row>
    <row r="522" spans="2:24">
      <c r="B522" s="7"/>
      <c r="C522" s="7">
        <v>73</v>
      </c>
      <c r="D522" s="24">
        <f t="shared" si="78"/>
        <v>0</v>
      </c>
      <c r="E522" s="103">
        <f t="shared" si="71"/>
        <v>0</v>
      </c>
      <c r="F522" s="53"/>
      <c r="G522" s="24">
        <f t="shared" si="76"/>
        <v>0</v>
      </c>
      <c r="H522" s="15">
        <f>IF(G522&gt;0,0,IF(AND(H521=0,SUM(K522:L522)=0),0,IF(D522=0,PPMT(D$65/12,COUNTIF(D$449:D522,0),D$66,Primary_Loan_Amount),0)))</f>
        <v>0</v>
      </c>
      <c r="I522" s="15">
        <f>-$G$52-SUM(H$449:H522)</f>
        <v>-23217621.943162207</v>
      </c>
      <c r="J522" s="24">
        <f t="shared" si="77"/>
        <v>0</v>
      </c>
      <c r="K522" s="51">
        <f>IF(L522=1,0,IF(SUM(K$449:K521)&gt;=Construction_Timeline,0,1))</f>
        <v>0</v>
      </c>
      <c r="L522" s="13">
        <f t="shared" si="79"/>
        <v>0</v>
      </c>
      <c r="M522" s="54">
        <f t="shared" si="80"/>
        <v>48245</v>
      </c>
      <c r="N522" s="7"/>
      <c r="O522" s="12"/>
      <c r="P522" s="98"/>
      <c r="Q522" s="98"/>
      <c r="R522" s="98"/>
      <c r="S522" s="98"/>
      <c r="T522" s="3"/>
      <c r="U522" s="98"/>
      <c r="V522" s="98"/>
      <c r="W522" s="98"/>
      <c r="X522" s="98"/>
    </row>
    <row r="523" spans="2:24">
      <c r="B523" s="7"/>
      <c r="C523" s="7">
        <v>74</v>
      </c>
      <c r="D523" s="24">
        <f t="shared" si="78"/>
        <v>0</v>
      </c>
      <c r="E523" s="103">
        <f t="shared" si="71"/>
        <v>0</v>
      </c>
      <c r="F523" s="53"/>
      <c r="G523" s="24">
        <f t="shared" si="76"/>
        <v>0</v>
      </c>
      <c r="H523" s="15">
        <f>IF(G523&gt;0,0,IF(AND(H522=0,SUM(K523:L523)=0),0,IF(D523=0,PPMT(D$65/12,COUNTIF(D$449:D523,0),D$66,Primary_Loan_Amount),0)))</f>
        <v>0</v>
      </c>
      <c r="I523" s="15">
        <f>-$G$52-SUM(H$449:H523)</f>
        <v>-23217621.943162207</v>
      </c>
      <c r="J523" s="24">
        <f t="shared" si="77"/>
        <v>0</v>
      </c>
      <c r="K523" s="51">
        <f>IF(L523=1,0,IF(SUM(K$449:K522)&gt;=Construction_Timeline,0,1))</f>
        <v>0</v>
      </c>
      <c r="L523" s="13">
        <f t="shared" si="79"/>
        <v>0</v>
      </c>
      <c r="M523" s="54">
        <f t="shared" si="80"/>
        <v>48274</v>
      </c>
      <c r="N523" s="7"/>
      <c r="O523" s="12"/>
      <c r="P523" s="98"/>
      <c r="Q523" s="98"/>
      <c r="R523" s="98"/>
      <c r="S523" s="98"/>
      <c r="T523" s="3"/>
      <c r="U523" s="98"/>
      <c r="V523" s="98"/>
      <c r="W523" s="98"/>
      <c r="X523" s="98"/>
    </row>
    <row r="524" spans="2:24">
      <c r="B524" s="7"/>
      <c r="C524" s="7">
        <v>75</v>
      </c>
      <c r="D524" s="24">
        <f t="shared" si="78"/>
        <v>0</v>
      </c>
      <c r="E524" s="103">
        <f t="shared" si="71"/>
        <v>0</v>
      </c>
      <c r="F524" s="53"/>
      <c r="G524" s="24">
        <f t="shared" si="76"/>
        <v>0</v>
      </c>
      <c r="H524" s="15">
        <f>IF(G524&gt;0,0,IF(AND(H523=0,SUM(K524:L524)=0),0,IF(D524=0,PPMT(D$65/12,COUNTIF(D$449:D524,0),D$66,Primary_Loan_Amount),0)))</f>
        <v>0</v>
      </c>
      <c r="I524" s="15">
        <f>-$G$52-SUM(H$449:H524)</f>
        <v>-23217621.943162207</v>
      </c>
      <c r="J524" s="24">
        <f t="shared" si="77"/>
        <v>0</v>
      </c>
      <c r="K524" s="51">
        <f>IF(L524=1,0,IF(SUM(K$449:K523)&gt;=Construction_Timeline,0,1))</f>
        <v>0</v>
      </c>
      <c r="L524" s="13">
        <f t="shared" si="79"/>
        <v>0</v>
      </c>
      <c r="M524" s="54">
        <f t="shared" si="80"/>
        <v>48305</v>
      </c>
      <c r="N524" s="7"/>
      <c r="O524" s="12"/>
      <c r="P524" s="98"/>
      <c r="Q524" s="98"/>
      <c r="R524" s="98"/>
      <c r="S524" s="98"/>
      <c r="T524" s="3"/>
      <c r="U524" s="98"/>
      <c r="V524" s="98"/>
      <c r="W524" s="98"/>
      <c r="X524" s="98"/>
    </row>
    <row r="525" spans="2:24">
      <c r="B525" s="7"/>
      <c r="C525" s="7">
        <v>76</v>
      </c>
      <c r="D525" s="24">
        <f t="shared" si="78"/>
        <v>0</v>
      </c>
      <c r="E525" s="103">
        <f t="shared" si="71"/>
        <v>0</v>
      </c>
      <c r="F525" s="53"/>
      <c r="G525" s="24">
        <f t="shared" si="76"/>
        <v>0</v>
      </c>
      <c r="H525" s="15">
        <f>IF(G525&gt;0,0,IF(AND(H524=0,SUM(K525:L525)=0),0,IF(D525=0,PPMT(D$65/12,COUNTIF(D$449:D525,0),D$66,Primary_Loan_Amount),0)))</f>
        <v>0</v>
      </c>
      <c r="I525" s="15">
        <f>-$G$52-SUM(H$449:H525)</f>
        <v>-23217621.943162207</v>
      </c>
      <c r="J525" s="24">
        <f t="shared" si="77"/>
        <v>0</v>
      </c>
      <c r="K525" s="51">
        <f>IF(L525=1,0,IF(SUM(K$449:K524)&gt;=Construction_Timeline,0,1))</f>
        <v>0</v>
      </c>
      <c r="L525" s="13">
        <f t="shared" si="79"/>
        <v>0</v>
      </c>
      <c r="M525" s="54">
        <f t="shared" si="80"/>
        <v>48335</v>
      </c>
      <c r="N525" s="7"/>
      <c r="O525" s="12"/>
      <c r="P525" s="98"/>
      <c r="Q525" s="98"/>
      <c r="R525" s="98"/>
      <c r="S525" s="98"/>
      <c r="T525" s="3"/>
      <c r="U525" s="98"/>
      <c r="V525" s="98"/>
      <c r="W525" s="98"/>
      <c r="X525" s="98"/>
    </row>
    <row r="526" spans="2:24">
      <c r="B526" s="7"/>
      <c r="C526" s="7">
        <v>77</v>
      </c>
      <c r="D526" s="24">
        <f t="shared" si="78"/>
        <v>0</v>
      </c>
      <c r="E526" s="103">
        <f t="shared" si="71"/>
        <v>0</v>
      </c>
      <c r="F526" s="53"/>
      <c r="G526" s="24">
        <f t="shared" si="76"/>
        <v>0</v>
      </c>
      <c r="H526" s="15">
        <f>IF(G526&gt;0,0,IF(AND(H525=0,SUM(K526:L526)=0),0,IF(D526=0,PPMT(D$65/12,COUNTIF(D$449:D526,0),D$66,Primary_Loan_Amount),0)))</f>
        <v>0</v>
      </c>
      <c r="I526" s="15">
        <f>-$G$52-SUM(H$449:H526)</f>
        <v>-23217621.943162207</v>
      </c>
      <c r="J526" s="24">
        <f t="shared" si="77"/>
        <v>0</v>
      </c>
      <c r="K526" s="51">
        <f>IF(L526=1,0,IF(SUM(K$449:K525)&gt;=Construction_Timeline,0,1))</f>
        <v>0</v>
      </c>
      <c r="L526" s="13">
        <f t="shared" si="79"/>
        <v>0</v>
      </c>
      <c r="M526" s="54">
        <f t="shared" si="80"/>
        <v>48366</v>
      </c>
      <c r="N526" s="7"/>
      <c r="O526" s="12"/>
      <c r="P526" s="98"/>
      <c r="Q526" s="98"/>
      <c r="R526" s="98"/>
      <c r="S526" s="98"/>
      <c r="T526" s="3"/>
      <c r="U526" s="98"/>
      <c r="V526" s="98"/>
      <c r="W526" s="98"/>
      <c r="X526" s="98"/>
    </row>
    <row r="527" spans="2:24">
      <c r="B527" s="7"/>
      <c r="C527" s="7">
        <v>78</v>
      </c>
      <c r="D527" s="24">
        <f t="shared" si="78"/>
        <v>0</v>
      </c>
      <c r="E527" s="103">
        <f t="shared" si="71"/>
        <v>0</v>
      </c>
      <c r="F527" s="53"/>
      <c r="G527" s="24">
        <f t="shared" si="76"/>
        <v>0</v>
      </c>
      <c r="H527" s="15">
        <f>IF(G527&gt;0,0,IF(AND(H526=0,SUM(K527:L527)=0),0,IF(D527=0,PPMT(D$65/12,COUNTIF(D$449:D527,0),D$66,Primary_Loan_Amount),0)))</f>
        <v>0</v>
      </c>
      <c r="I527" s="15">
        <f>-$G$52-SUM(H$449:H527)</f>
        <v>-23217621.943162207</v>
      </c>
      <c r="J527" s="24">
        <f t="shared" si="77"/>
        <v>0</v>
      </c>
      <c r="K527" s="51">
        <f>IF(L527=1,0,IF(SUM(K$449:K526)&gt;=Construction_Timeline,0,1))</f>
        <v>0</v>
      </c>
      <c r="L527" s="13">
        <f t="shared" si="79"/>
        <v>0</v>
      </c>
      <c r="M527" s="54">
        <f t="shared" si="80"/>
        <v>48396</v>
      </c>
      <c r="N527" s="7"/>
      <c r="O527" s="12"/>
      <c r="P527" s="98"/>
      <c r="Q527" s="98"/>
      <c r="R527" s="98"/>
      <c r="S527" s="98"/>
      <c r="T527" s="3"/>
      <c r="U527" s="98"/>
      <c r="V527" s="98"/>
      <c r="W527" s="98"/>
      <c r="X527" s="98"/>
    </row>
    <row r="528" spans="2:24">
      <c r="B528" s="7"/>
      <c r="C528" s="7">
        <v>79</v>
      </c>
      <c r="D528" s="24">
        <f t="shared" si="78"/>
        <v>0</v>
      </c>
      <c r="E528" s="103">
        <f t="shared" si="71"/>
        <v>0</v>
      </c>
      <c r="F528" s="53"/>
      <c r="G528" s="24">
        <f t="shared" si="76"/>
        <v>0</v>
      </c>
      <c r="H528" s="15">
        <f>IF(G528&gt;0,0,IF(AND(H527=0,SUM(K528:L528)=0),0,IF(D528=0,PPMT(D$65/12,COUNTIF(D$449:D528,0),D$66,Primary_Loan_Amount),0)))</f>
        <v>0</v>
      </c>
      <c r="I528" s="15">
        <f>-$G$52-SUM(H$449:H528)</f>
        <v>-23217621.943162207</v>
      </c>
      <c r="J528" s="24">
        <f t="shared" si="77"/>
        <v>0</v>
      </c>
      <c r="K528" s="51">
        <f>IF(L528=1,0,IF(SUM(K$449:K527)&gt;=Construction_Timeline,0,1))</f>
        <v>0</v>
      </c>
      <c r="L528" s="13">
        <f t="shared" si="79"/>
        <v>0</v>
      </c>
      <c r="M528" s="54">
        <f t="shared" si="80"/>
        <v>48427</v>
      </c>
      <c r="N528" s="7"/>
      <c r="O528" s="12"/>
      <c r="P528" s="98"/>
      <c r="Q528" s="98"/>
      <c r="R528" s="98"/>
      <c r="S528" s="98"/>
      <c r="T528" s="3"/>
      <c r="U528" s="98"/>
      <c r="V528" s="98"/>
      <c r="W528" s="98"/>
      <c r="X528" s="98"/>
    </row>
    <row r="529" spans="2:24">
      <c r="B529" s="7"/>
      <c r="C529" s="7">
        <v>80</v>
      </c>
      <c r="D529" s="24">
        <f t="shared" si="78"/>
        <v>0</v>
      </c>
      <c r="E529" s="103">
        <f t="shared" si="71"/>
        <v>0</v>
      </c>
      <c r="F529" s="53"/>
      <c r="G529" s="24">
        <f t="shared" si="76"/>
        <v>0</v>
      </c>
      <c r="H529" s="15">
        <f>IF(G529&gt;0,0,IF(AND(H528=0,SUM(K529:L529)=0),0,IF(D529=0,PPMT(D$65/12,COUNTIF(D$449:D529,0),D$66,Primary_Loan_Amount),0)))</f>
        <v>0</v>
      </c>
      <c r="I529" s="15">
        <f>-$G$52-SUM(H$449:H529)</f>
        <v>-23217621.943162207</v>
      </c>
      <c r="J529" s="24">
        <f t="shared" si="77"/>
        <v>0</v>
      </c>
      <c r="K529" s="51">
        <f>IF(L529=1,0,IF(SUM(K$449:K528)&gt;=Construction_Timeline,0,1))</f>
        <v>0</v>
      </c>
      <c r="L529" s="13">
        <f t="shared" si="79"/>
        <v>0</v>
      </c>
      <c r="M529" s="54">
        <f t="shared" si="80"/>
        <v>48458</v>
      </c>
      <c r="N529" s="7"/>
      <c r="O529" s="12"/>
      <c r="P529" s="98"/>
      <c r="Q529" s="98"/>
      <c r="R529" s="98"/>
      <c r="S529" s="98"/>
      <c r="T529" s="3"/>
      <c r="U529" s="98"/>
      <c r="V529" s="98"/>
      <c r="W529" s="98"/>
      <c r="X529" s="98"/>
    </row>
    <row r="530" spans="2:24">
      <c r="B530" s="7"/>
      <c r="C530" s="7">
        <v>81</v>
      </c>
      <c r="D530" s="24">
        <f t="shared" si="78"/>
        <v>0</v>
      </c>
      <c r="E530" s="103">
        <f t="shared" si="71"/>
        <v>0</v>
      </c>
      <c r="F530" s="53"/>
      <c r="G530" s="24">
        <f t="shared" si="76"/>
        <v>0</v>
      </c>
      <c r="H530" s="15">
        <f>IF(G530&gt;0,0,IF(AND(H529=0,SUM(K530:L530)=0),0,IF(D530=0,PPMT(D$65/12,COUNTIF(D$449:D530,0),D$66,Primary_Loan_Amount),0)))</f>
        <v>0</v>
      </c>
      <c r="I530" s="15">
        <f>-$G$52-SUM(H$449:H530)</f>
        <v>-23217621.943162207</v>
      </c>
      <c r="J530" s="24">
        <f t="shared" si="77"/>
        <v>0</v>
      </c>
      <c r="K530" s="51">
        <f>IF(L530=1,0,IF(SUM(K$449:K529)&gt;=Construction_Timeline,0,1))</f>
        <v>0</v>
      </c>
      <c r="L530" s="13">
        <f t="shared" si="79"/>
        <v>0</v>
      </c>
      <c r="M530" s="54">
        <f t="shared" si="80"/>
        <v>48488</v>
      </c>
      <c r="N530" s="7"/>
      <c r="O530" s="12"/>
      <c r="P530" s="98"/>
      <c r="Q530" s="98"/>
      <c r="R530" s="98"/>
      <c r="S530" s="98"/>
      <c r="T530" s="3"/>
      <c r="U530" s="98"/>
      <c r="V530" s="98"/>
      <c r="W530" s="98"/>
      <c r="X530" s="98"/>
    </row>
    <row r="531" spans="2:24">
      <c r="B531" s="7"/>
      <c r="C531" s="7">
        <v>82</v>
      </c>
      <c r="D531" s="24">
        <f t="shared" si="78"/>
        <v>0</v>
      </c>
      <c r="E531" s="103">
        <f t="shared" si="71"/>
        <v>0</v>
      </c>
      <c r="F531" s="53"/>
      <c r="G531" s="24">
        <f t="shared" si="76"/>
        <v>0</v>
      </c>
      <c r="H531" s="15">
        <f>IF(G531&gt;0,0,IF(AND(H530=0,SUM(K531:L531)=0),0,IF(D531=0,PPMT(D$65/12,COUNTIF(D$449:D531,0),D$66,Primary_Loan_Amount),0)))</f>
        <v>0</v>
      </c>
      <c r="I531" s="15">
        <f>-$G$52-SUM(H$449:H531)</f>
        <v>-23217621.943162207</v>
      </c>
      <c r="J531" s="24">
        <f t="shared" si="77"/>
        <v>0</v>
      </c>
      <c r="K531" s="51">
        <f>IF(L531=1,0,IF(SUM(K$449:K530)&gt;=Construction_Timeline,0,1))</f>
        <v>0</v>
      </c>
      <c r="L531" s="13">
        <f t="shared" si="79"/>
        <v>0</v>
      </c>
      <c r="M531" s="54">
        <f t="shared" si="80"/>
        <v>48519</v>
      </c>
      <c r="N531" s="7"/>
      <c r="O531" s="12"/>
      <c r="P531" s="98"/>
      <c r="Q531" s="98"/>
      <c r="R531" s="98"/>
      <c r="S531" s="98"/>
      <c r="T531" s="3"/>
      <c r="U531" s="98"/>
      <c r="V531" s="98"/>
      <c r="W531" s="98"/>
      <c r="X531" s="98"/>
    </row>
    <row r="532" spans="2:24">
      <c r="B532" s="7"/>
      <c r="C532" s="7">
        <v>83</v>
      </c>
      <c r="D532" s="24">
        <f t="shared" si="78"/>
        <v>0</v>
      </c>
      <c r="E532" s="103">
        <f t="shared" si="71"/>
        <v>0</v>
      </c>
      <c r="F532" s="53"/>
      <c r="G532" s="24">
        <f t="shared" si="76"/>
        <v>0</v>
      </c>
      <c r="H532" s="15">
        <f>IF(G532&gt;0,0,IF(AND(H531=0,SUM(K532:L532)=0),0,IF(D532=0,PPMT(D$65/12,COUNTIF(D$449:D532,0),D$66,Primary_Loan_Amount),0)))</f>
        <v>0</v>
      </c>
      <c r="I532" s="15">
        <f>-$G$52-SUM(H$449:H532)</f>
        <v>-23217621.943162207</v>
      </c>
      <c r="J532" s="24">
        <f t="shared" si="77"/>
        <v>0</v>
      </c>
      <c r="K532" s="51">
        <f>IF(L532=1,0,IF(SUM(K$449:K531)&gt;=Construction_Timeline,0,1))</f>
        <v>0</v>
      </c>
      <c r="L532" s="13">
        <f t="shared" si="79"/>
        <v>0</v>
      </c>
      <c r="M532" s="54">
        <f t="shared" si="80"/>
        <v>48549</v>
      </c>
      <c r="N532" s="7"/>
      <c r="O532" s="12"/>
      <c r="P532" s="98"/>
      <c r="Q532" s="98"/>
      <c r="R532" s="98"/>
      <c r="S532" s="98"/>
      <c r="T532" s="3"/>
      <c r="U532" s="98"/>
      <c r="V532" s="98"/>
      <c r="W532" s="98"/>
      <c r="X532" s="98"/>
    </row>
    <row r="533" spans="2:24">
      <c r="B533" s="7"/>
      <c r="C533" s="7">
        <v>84</v>
      </c>
      <c r="D533" s="24">
        <f t="shared" si="78"/>
        <v>0</v>
      </c>
      <c r="E533" s="103">
        <f t="shared" si="71"/>
        <v>0</v>
      </c>
      <c r="F533" s="53"/>
      <c r="G533" s="24">
        <f t="shared" si="76"/>
        <v>0</v>
      </c>
      <c r="H533" s="15">
        <f>IF(G533&gt;0,0,IF(AND(H532=0,SUM(K533:L533)=0),0,IF(D533=0,PPMT(D$65/12,COUNTIF(D$449:D533,0),D$66,Primary_Loan_Amount),0)))</f>
        <v>0</v>
      </c>
      <c r="I533" s="15">
        <f>-$G$52-SUM(H$449:H533)</f>
        <v>-23217621.943162207</v>
      </c>
      <c r="J533" s="24">
        <f t="shared" si="77"/>
        <v>0</v>
      </c>
      <c r="K533" s="51">
        <f>IF(L533=1,0,IF(SUM(K$449:K532)&gt;=Construction_Timeline,0,1))</f>
        <v>0</v>
      </c>
      <c r="L533" s="13">
        <f t="shared" si="79"/>
        <v>0</v>
      </c>
      <c r="M533" s="54">
        <f t="shared" si="80"/>
        <v>48580</v>
      </c>
      <c r="N533" s="7"/>
      <c r="O533" s="12"/>
      <c r="P533" s="98"/>
      <c r="Q533" s="98"/>
      <c r="R533" s="98"/>
      <c r="S533" s="98"/>
      <c r="T533" s="3"/>
      <c r="U533" s="98"/>
      <c r="V533" s="98"/>
      <c r="W533" s="98"/>
      <c r="X533" s="98"/>
    </row>
    <row r="534" spans="2:24">
      <c r="B534" s="7"/>
      <c r="C534" s="7">
        <v>85</v>
      </c>
      <c r="D534" s="24">
        <f t="shared" si="78"/>
        <v>0</v>
      </c>
      <c r="E534" s="103">
        <f t="shared" si="71"/>
        <v>0</v>
      </c>
      <c r="F534" s="53"/>
      <c r="G534" s="24">
        <f t="shared" si="76"/>
        <v>0</v>
      </c>
      <c r="H534" s="15">
        <f>IF(G534&gt;0,0,IF(AND(H533=0,SUM(K534:L534)=0),0,IF(D534=0,PPMT(D$65/12,COUNTIF(D$449:D534,0),D$66,Primary_Loan_Amount),0)))</f>
        <v>0</v>
      </c>
      <c r="I534" s="15">
        <f>-$G$52-SUM(H$449:H534)</f>
        <v>-23217621.943162207</v>
      </c>
      <c r="J534" s="24">
        <f t="shared" si="77"/>
        <v>0</v>
      </c>
      <c r="K534" s="51">
        <f>IF(L534=1,0,IF(SUM(K$449:K533)&gt;=Construction_Timeline,0,1))</f>
        <v>0</v>
      </c>
      <c r="L534" s="13">
        <f t="shared" si="79"/>
        <v>0</v>
      </c>
      <c r="M534" s="54">
        <f t="shared" si="80"/>
        <v>48611</v>
      </c>
      <c r="N534" s="7"/>
      <c r="O534" s="12"/>
      <c r="P534" s="98"/>
      <c r="Q534" s="98"/>
      <c r="R534" s="98"/>
      <c r="S534" s="98"/>
      <c r="T534" s="3"/>
      <c r="U534" s="98"/>
      <c r="V534" s="98"/>
      <c r="W534" s="98"/>
      <c r="X534" s="98"/>
    </row>
    <row r="535" spans="2:24">
      <c r="B535" s="7"/>
      <c r="C535" s="7">
        <v>86</v>
      </c>
      <c r="D535" s="24">
        <f t="shared" si="78"/>
        <v>0</v>
      </c>
      <c r="E535" s="103">
        <f t="shared" ref="E535:E598" si="81">E534-D535</f>
        <v>0</v>
      </c>
      <c r="F535" s="53"/>
      <c r="G535" s="24">
        <f t="shared" si="76"/>
        <v>0</v>
      </c>
      <c r="H535" s="15">
        <f>IF(G535&gt;0,0,IF(AND(H534=0,SUM(K535:L535)=0),0,IF(D535=0,PPMT(D$65/12,COUNTIF(D$449:D535,0),D$66,Primary_Loan_Amount),0)))</f>
        <v>0</v>
      </c>
      <c r="I535" s="15">
        <f>-$G$52-SUM(H$449:H535)</f>
        <v>-23217621.943162207</v>
      </c>
      <c r="J535" s="24">
        <f t="shared" si="77"/>
        <v>0</v>
      </c>
      <c r="K535" s="51">
        <f>IF(L535=1,0,IF(SUM(K$449:K534)&gt;=Construction_Timeline,0,1))</f>
        <v>0</v>
      </c>
      <c r="L535" s="13">
        <f t="shared" si="79"/>
        <v>0</v>
      </c>
      <c r="M535" s="54">
        <f t="shared" si="80"/>
        <v>48639</v>
      </c>
      <c r="N535" s="7"/>
      <c r="O535" s="12"/>
      <c r="P535" s="98"/>
      <c r="Q535" s="98"/>
      <c r="R535" s="98"/>
      <c r="S535" s="98"/>
      <c r="T535" s="3"/>
      <c r="U535" s="98"/>
      <c r="V535" s="98"/>
      <c r="W535" s="98"/>
      <c r="X535" s="98"/>
    </row>
    <row r="536" spans="2:24">
      <c r="B536" s="7"/>
      <c r="C536" s="7">
        <v>87</v>
      </c>
      <c r="D536" s="24">
        <f t="shared" si="78"/>
        <v>0</v>
      </c>
      <c r="E536" s="103">
        <f t="shared" si="81"/>
        <v>0</v>
      </c>
      <c r="F536" s="53"/>
      <c r="G536" s="24">
        <f t="shared" si="76"/>
        <v>0</v>
      </c>
      <c r="H536" s="15">
        <f>IF(G536&gt;0,0,IF(AND(H535=0,SUM(K536:L536)=0),0,IF(D536=0,PPMT(D$65/12,COUNTIF(D$449:D536,0),D$66,Primary_Loan_Amount),0)))</f>
        <v>0</v>
      </c>
      <c r="I536" s="15">
        <f>-$G$52-SUM(H$449:H536)</f>
        <v>-23217621.943162207</v>
      </c>
      <c r="J536" s="24">
        <f t="shared" si="77"/>
        <v>0</v>
      </c>
      <c r="K536" s="51">
        <f>IF(L536=1,0,IF(SUM(K$449:K535)&gt;=Construction_Timeline,0,1))</f>
        <v>0</v>
      </c>
      <c r="L536" s="13">
        <f t="shared" si="79"/>
        <v>0</v>
      </c>
      <c r="M536" s="54">
        <f t="shared" si="80"/>
        <v>48670</v>
      </c>
      <c r="N536" s="7"/>
      <c r="O536" s="12"/>
      <c r="P536" s="98"/>
      <c r="Q536" s="98"/>
      <c r="R536" s="98"/>
      <c r="S536" s="98"/>
      <c r="T536" s="3"/>
      <c r="U536" s="98"/>
      <c r="V536" s="98"/>
      <c r="W536" s="98"/>
      <c r="X536" s="98"/>
    </row>
    <row r="537" spans="2:24">
      <c r="B537" s="7"/>
      <c r="C537" s="7">
        <v>88</v>
      </c>
      <c r="D537" s="24">
        <f t="shared" si="78"/>
        <v>0</v>
      </c>
      <c r="E537" s="103">
        <f t="shared" si="81"/>
        <v>0</v>
      </c>
      <c r="F537" s="53"/>
      <c r="G537" s="24">
        <f t="shared" si="76"/>
        <v>0</v>
      </c>
      <c r="H537" s="15">
        <f>IF(G537&gt;0,0,IF(AND(H536=0,SUM(K537:L537)=0),0,IF(D537=0,PPMT(D$65/12,COUNTIF(D$449:D537,0),D$66,Primary_Loan_Amount),0)))</f>
        <v>0</v>
      </c>
      <c r="I537" s="15">
        <f>-$G$52-SUM(H$449:H537)</f>
        <v>-23217621.943162207</v>
      </c>
      <c r="J537" s="24">
        <f t="shared" si="77"/>
        <v>0</v>
      </c>
      <c r="K537" s="51">
        <f>IF(L537=1,0,IF(SUM(K$449:K536)&gt;=Construction_Timeline,0,1))</f>
        <v>0</v>
      </c>
      <c r="L537" s="13">
        <f t="shared" si="79"/>
        <v>0</v>
      </c>
      <c r="M537" s="54">
        <f t="shared" si="80"/>
        <v>48700</v>
      </c>
      <c r="N537" s="7"/>
      <c r="O537" s="12"/>
      <c r="P537" s="98"/>
      <c r="Q537" s="98"/>
      <c r="R537" s="98"/>
      <c r="S537" s="98"/>
      <c r="T537" s="3"/>
      <c r="U537" s="98"/>
      <c r="V537" s="98"/>
      <c r="W537" s="98"/>
      <c r="X537" s="98"/>
    </row>
    <row r="538" spans="2:24">
      <c r="B538" s="7"/>
      <c r="C538" s="7">
        <v>89</v>
      </c>
      <c r="D538" s="24">
        <f t="shared" si="78"/>
        <v>0</v>
      </c>
      <c r="E538" s="103">
        <f t="shared" si="81"/>
        <v>0</v>
      </c>
      <c r="F538" s="53"/>
      <c r="G538" s="24">
        <f t="shared" si="76"/>
        <v>0</v>
      </c>
      <c r="H538" s="15">
        <f>IF(G538&gt;0,0,IF(AND(H537=0,SUM(K538:L538)=0),0,IF(D538=0,PPMT(D$65/12,COUNTIF(D$449:D538,0),D$66,Primary_Loan_Amount),0)))</f>
        <v>0</v>
      </c>
      <c r="I538" s="15">
        <f>-$G$52-SUM(H$449:H538)</f>
        <v>-23217621.943162207</v>
      </c>
      <c r="J538" s="24">
        <f t="shared" si="77"/>
        <v>0</v>
      </c>
      <c r="K538" s="51">
        <f>IF(L538=1,0,IF(SUM(K$449:K537)&gt;=Construction_Timeline,0,1))</f>
        <v>0</v>
      </c>
      <c r="L538" s="13">
        <f t="shared" si="79"/>
        <v>0</v>
      </c>
      <c r="M538" s="54">
        <f t="shared" si="80"/>
        <v>48731</v>
      </c>
      <c r="N538" s="7"/>
      <c r="O538" s="12"/>
      <c r="P538" s="98"/>
      <c r="Q538" s="98"/>
      <c r="R538" s="98"/>
      <c r="S538" s="98"/>
      <c r="T538" s="3"/>
      <c r="U538" s="98"/>
      <c r="V538" s="98"/>
      <c r="W538" s="98"/>
      <c r="X538" s="98"/>
    </row>
    <row r="539" spans="2:24">
      <c r="B539" s="7"/>
      <c r="C539" s="7">
        <v>90</v>
      </c>
      <c r="D539" s="24">
        <f t="shared" si="78"/>
        <v>0</v>
      </c>
      <c r="E539" s="103">
        <f t="shared" si="81"/>
        <v>0</v>
      </c>
      <c r="F539" s="53"/>
      <c r="G539" s="24">
        <f t="shared" si="76"/>
        <v>0</v>
      </c>
      <c r="H539" s="15">
        <f>IF(G539&gt;0,0,IF(AND(H538=0,SUM(K539:L539)=0),0,IF(D539=0,PPMT(D$65/12,COUNTIF(D$449:D539,0),D$66,Primary_Loan_Amount),0)))</f>
        <v>0</v>
      </c>
      <c r="I539" s="15">
        <f>-$G$52-SUM(H$449:H539)</f>
        <v>-23217621.943162207</v>
      </c>
      <c r="J539" s="24">
        <f t="shared" si="77"/>
        <v>0</v>
      </c>
      <c r="K539" s="51">
        <f>IF(L539=1,0,IF(SUM(K$449:K538)&gt;=Construction_Timeline,0,1))</f>
        <v>0</v>
      </c>
      <c r="L539" s="13">
        <f t="shared" si="79"/>
        <v>0</v>
      </c>
      <c r="M539" s="54">
        <f t="shared" si="80"/>
        <v>48761</v>
      </c>
      <c r="N539" s="7"/>
      <c r="O539" s="12"/>
      <c r="P539" s="98"/>
      <c r="Q539" s="98"/>
      <c r="R539" s="98"/>
      <c r="S539" s="98"/>
      <c r="T539" s="3"/>
      <c r="U539" s="98"/>
      <c r="V539" s="98"/>
      <c r="W539" s="98"/>
      <c r="X539" s="98"/>
    </row>
    <row r="540" spans="2:24">
      <c r="B540" s="7"/>
      <c r="C540" s="7">
        <v>91</v>
      </c>
      <c r="D540" s="24">
        <f t="shared" si="78"/>
        <v>0</v>
      </c>
      <c r="E540" s="103">
        <f t="shared" si="81"/>
        <v>0</v>
      </c>
      <c r="F540" s="53"/>
      <c r="G540" s="24">
        <f t="shared" si="76"/>
        <v>0</v>
      </c>
      <c r="H540" s="15">
        <f>IF(G540&gt;0,0,IF(AND(H539=0,SUM(K540:L540)=0),0,IF(D540=0,PPMT(D$65/12,COUNTIF(D$449:D540,0),D$66,Primary_Loan_Amount),0)))</f>
        <v>0</v>
      </c>
      <c r="I540" s="15">
        <f>-$G$52-SUM(H$449:H540)</f>
        <v>-23217621.943162207</v>
      </c>
      <c r="J540" s="24">
        <f t="shared" si="77"/>
        <v>0</v>
      </c>
      <c r="K540" s="51">
        <f>IF(L540=1,0,IF(SUM(K$449:K539)&gt;=Construction_Timeline,0,1))</f>
        <v>0</v>
      </c>
      <c r="L540" s="13">
        <f t="shared" si="79"/>
        <v>0</v>
      </c>
      <c r="M540" s="54">
        <f t="shared" si="80"/>
        <v>48792</v>
      </c>
      <c r="N540" s="7"/>
      <c r="O540" s="12"/>
      <c r="P540" s="98"/>
      <c r="Q540" s="98"/>
      <c r="R540" s="98"/>
      <c r="S540" s="98"/>
      <c r="T540" s="3"/>
      <c r="U540" s="98"/>
      <c r="V540" s="98"/>
      <c r="W540" s="98"/>
      <c r="X540" s="98"/>
    </row>
    <row r="541" spans="2:24">
      <c r="B541" s="7"/>
      <c r="C541" s="7">
        <v>92</v>
      </c>
      <c r="D541" s="24">
        <f t="shared" si="78"/>
        <v>0</v>
      </c>
      <c r="E541" s="103">
        <f t="shared" si="81"/>
        <v>0</v>
      </c>
      <c r="F541" s="53"/>
      <c r="G541" s="24">
        <f t="shared" si="76"/>
        <v>0</v>
      </c>
      <c r="H541" s="15">
        <f>IF(G541&gt;0,0,IF(AND(H540=0,SUM(K541:L541)=0),0,IF(D541=0,PPMT(D$65/12,COUNTIF(D$449:D541,0),D$66,Primary_Loan_Amount),0)))</f>
        <v>0</v>
      </c>
      <c r="I541" s="15">
        <f>-$G$52-SUM(H$449:H541)</f>
        <v>-23217621.943162207</v>
      </c>
      <c r="J541" s="24">
        <f t="shared" si="77"/>
        <v>0</v>
      </c>
      <c r="K541" s="51">
        <f>IF(L541=1,0,IF(SUM(K$449:K540)&gt;=Construction_Timeline,0,1))</f>
        <v>0</v>
      </c>
      <c r="L541" s="13">
        <f t="shared" si="79"/>
        <v>0</v>
      </c>
      <c r="M541" s="54">
        <f t="shared" si="80"/>
        <v>48823</v>
      </c>
      <c r="N541" s="7"/>
      <c r="O541" s="12"/>
      <c r="P541" s="98"/>
      <c r="Q541" s="98"/>
      <c r="R541" s="98"/>
      <c r="S541" s="98"/>
      <c r="T541" s="3"/>
      <c r="U541" s="98"/>
      <c r="V541" s="98"/>
      <c r="W541" s="98"/>
      <c r="X541" s="98"/>
    </row>
    <row r="542" spans="2:24">
      <c r="B542" s="7"/>
      <c r="C542" s="7">
        <v>93</v>
      </c>
      <c r="D542" s="24">
        <f t="shared" si="78"/>
        <v>0</v>
      </c>
      <c r="E542" s="103">
        <f t="shared" si="81"/>
        <v>0</v>
      </c>
      <c r="F542" s="53"/>
      <c r="G542" s="24">
        <f t="shared" si="76"/>
        <v>0</v>
      </c>
      <c r="H542" s="15">
        <f>IF(G542&gt;0,0,IF(AND(H541=0,SUM(K542:L542)=0),0,IF(D542=0,PPMT(D$65/12,COUNTIF(D$449:D542,0),D$66,Primary_Loan_Amount),0)))</f>
        <v>0</v>
      </c>
      <c r="I542" s="15">
        <f>-$G$52-SUM(H$449:H542)</f>
        <v>-23217621.943162207</v>
      </c>
      <c r="J542" s="24">
        <f t="shared" si="77"/>
        <v>0</v>
      </c>
      <c r="K542" s="51">
        <f>IF(L542=1,0,IF(SUM(K$449:K541)&gt;=Construction_Timeline,0,1))</f>
        <v>0</v>
      </c>
      <c r="L542" s="13">
        <f t="shared" si="79"/>
        <v>0</v>
      </c>
      <c r="M542" s="54">
        <f t="shared" si="80"/>
        <v>48853</v>
      </c>
      <c r="N542" s="7"/>
      <c r="O542" s="12"/>
      <c r="P542" s="98"/>
      <c r="Q542" s="98"/>
      <c r="R542" s="98"/>
      <c r="S542" s="98"/>
      <c r="T542" s="3"/>
      <c r="U542" s="98"/>
      <c r="V542" s="98"/>
      <c r="W542" s="98"/>
      <c r="X542" s="98"/>
    </row>
    <row r="543" spans="2:24">
      <c r="B543" s="7"/>
      <c r="C543" s="7">
        <v>94</v>
      </c>
      <c r="D543" s="24">
        <f t="shared" si="78"/>
        <v>0</v>
      </c>
      <c r="E543" s="103">
        <f t="shared" si="81"/>
        <v>0</v>
      </c>
      <c r="F543" s="53"/>
      <c r="G543" s="24">
        <f t="shared" si="76"/>
        <v>0</v>
      </c>
      <c r="H543" s="15">
        <f>IF(G543&gt;0,0,IF(AND(H542=0,SUM(K543:L543)=0),0,IF(D543=0,PPMT(D$65/12,COUNTIF(D$449:D543,0),D$66,Primary_Loan_Amount),0)))</f>
        <v>0</v>
      </c>
      <c r="I543" s="15">
        <f>-$G$52-SUM(H$449:H543)</f>
        <v>-23217621.943162207</v>
      </c>
      <c r="J543" s="24">
        <f t="shared" si="77"/>
        <v>0</v>
      </c>
      <c r="K543" s="51">
        <f>IF(L543=1,0,IF(SUM(K$449:K542)&gt;=Construction_Timeline,0,1))</f>
        <v>0</v>
      </c>
      <c r="L543" s="13">
        <f t="shared" si="79"/>
        <v>0</v>
      </c>
      <c r="M543" s="54">
        <f t="shared" si="80"/>
        <v>48884</v>
      </c>
      <c r="N543" s="7"/>
      <c r="O543" s="12"/>
      <c r="P543" s="98"/>
      <c r="Q543" s="98"/>
      <c r="R543" s="98"/>
      <c r="S543" s="98"/>
      <c r="T543" s="3"/>
      <c r="U543" s="98"/>
      <c r="V543" s="98"/>
      <c r="W543" s="98"/>
      <c r="X543" s="98"/>
    </row>
    <row r="544" spans="2:24">
      <c r="B544" s="7"/>
      <c r="C544" s="7">
        <v>95</v>
      </c>
      <c r="D544" s="24">
        <f t="shared" si="78"/>
        <v>0</v>
      </c>
      <c r="E544" s="103">
        <f t="shared" si="81"/>
        <v>0</v>
      </c>
      <c r="F544" s="53"/>
      <c r="G544" s="24">
        <f t="shared" si="76"/>
        <v>0</v>
      </c>
      <c r="H544" s="15">
        <f>IF(G544&gt;0,0,IF(AND(H543=0,SUM(K544:L544)=0),0,IF(D544=0,PPMT(D$65/12,COUNTIF(D$449:D544,0),D$66,Primary_Loan_Amount),0)))</f>
        <v>0</v>
      </c>
      <c r="I544" s="15">
        <f>-$G$52-SUM(H$449:H544)</f>
        <v>-23217621.943162207</v>
      </c>
      <c r="J544" s="24">
        <f t="shared" si="77"/>
        <v>0</v>
      </c>
      <c r="K544" s="51">
        <f>IF(L544=1,0,IF(SUM(K$449:K543)&gt;=Construction_Timeline,0,1))</f>
        <v>0</v>
      </c>
      <c r="L544" s="13">
        <f t="shared" si="79"/>
        <v>0</v>
      </c>
      <c r="M544" s="54">
        <f t="shared" si="80"/>
        <v>48914</v>
      </c>
      <c r="N544" s="7"/>
      <c r="O544" s="12"/>
      <c r="P544" s="98"/>
      <c r="Q544" s="98"/>
      <c r="R544" s="98"/>
      <c r="S544" s="98"/>
      <c r="T544" s="3"/>
      <c r="U544" s="98"/>
      <c r="V544" s="98"/>
      <c r="W544" s="98"/>
      <c r="X544" s="98"/>
    </row>
    <row r="545" spans="2:24">
      <c r="B545" s="7"/>
      <c r="C545" s="7">
        <v>96</v>
      </c>
      <c r="D545" s="24">
        <f t="shared" si="78"/>
        <v>0</v>
      </c>
      <c r="E545" s="103">
        <f t="shared" si="81"/>
        <v>0</v>
      </c>
      <c r="F545" s="53"/>
      <c r="G545" s="24">
        <f t="shared" ref="G545:G576" si="82">IF(C545=SUM(Month_of_Sale,PreDev_Timeline,Construction_Timeline),Incentive_Sales_Price*(1-D$64),0)</f>
        <v>0</v>
      </c>
      <c r="H545" s="15">
        <f>IF(G545&gt;0,0,IF(AND(H544=0,SUM(K545:L545)=0),0,IF(D545=0,PPMT(D$65/12,COUNTIF(D$449:D545,0),D$66,Primary_Loan_Amount),0)))</f>
        <v>0</v>
      </c>
      <c r="I545" s="15">
        <f>-$G$52-SUM(H$449:H545)</f>
        <v>-23217621.943162207</v>
      </c>
      <c r="J545" s="24">
        <f t="shared" ref="J545:J576" si="83">SUM(D545,F545,G545)+IF(G545&gt;0,I545)</f>
        <v>0</v>
      </c>
      <c r="K545" s="51">
        <f>IF(L545=1,0,IF(SUM(K$449:K544)&gt;=Construction_Timeline,0,1))</f>
        <v>0</v>
      </c>
      <c r="L545" s="13">
        <f t="shared" si="79"/>
        <v>0</v>
      </c>
      <c r="M545" s="54">
        <f t="shared" si="80"/>
        <v>48945</v>
      </c>
      <c r="N545" s="7"/>
      <c r="O545" s="12"/>
      <c r="P545" s="98"/>
      <c r="Q545" s="98"/>
      <c r="R545" s="98"/>
      <c r="S545" s="98"/>
      <c r="T545" s="3"/>
      <c r="U545" s="98"/>
      <c r="V545" s="98"/>
      <c r="W545" s="98"/>
      <c r="X545" s="98"/>
    </row>
    <row r="546" spans="2:24">
      <c r="B546" s="7"/>
      <c r="C546" s="7">
        <v>97</v>
      </c>
      <c r="D546" s="24">
        <f t="shared" ref="D546:D577" si="84">IF(AND(C545&gt;0,E545&gt;=D545),E545,IF(L546=1,-Incentive_Pre_Development_Costs/PreDev_Timeline,IF(K546=1,MAX(E545,-G$52/Construction_Timeline),0)))</f>
        <v>0</v>
      </c>
      <c r="E546" s="103">
        <f t="shared" si="81"/>
        <v>0</v>
      </c>
      <c r="F546" s="53"/>
      <c r="G546" s="24">
        <f t="shared" si="82"/>
        <v>0</v>
      </c>
      <c r="H546" s="15">
        <f>IF(G546&gt;0,0,IF(AND(H545=0,SUM(K546:L546)=0),0,IF(D546=0,PPMT(D$65/12,COUNTIF(D$449:D546,0),D$66,Primary_Loan_Amount),0)))</f>
        <v>0</v>
      </c>
      <c r="I546" s="15">
        <f>-$G$52-SUM(H$449:H546)</f>
        <v>-23217621.943162207</v>
      </c>
      <c r="J546" s="24">
        <f t="shared" si="83"/>
        <v>0</v>
      </c>
      <c r="K546" s="51">
        <f>IF(L546=1,0,IF(SUM(K$449:K545)&gt;=Construction_Timeline,0,1))</f>
        <v>0</v>
      </c>
      <c r="L546" s="13">
        <f t="shared" ref="L546:L577" si="85">IF(C546&lt;=PreDev_Timeline,1,0)</f>
        <v>0</v>
      </c>
      <c r="M546" s="54">
        <f t="shared" si="80"/>
        <v>48976</v>
      </c>
      <c r="N546" s="7"/>
      <c r="O546" s="12"/>
      <c r="P546" s="98"/>
      <c r="Q546" s="98"/>
      <c r="R546" s="98"/>
      <c r="S546" s="98"/>
      <c r="T546" s="3"/>
      <c r="U546" s="98"/>
      <c r="V546" s="98"/>
      <c r="W546" s="98"/>
      <c r="X546" s="98"/>
    </row>
    <row r="547" spans="2:24">
      <c r="B547" s="7"/>
      <c r="C547" s="7">
        <v>98</v>
      </c>
      <c r="D547" s="24">
        <f t="shared" si="84"/>
        <v>0</v>
      </c>
      <c r="E547" s="103">
        <f t="shared" si="81"/>
        <v>0</v>
      </c>
      <c r="F547" s="53"/>
      <c r="G547" s="24">
        <f t="shared" si="82"/>
        <v>0</v>
      </c>
      <c r="H547" s="15">
        <f>IF(G547&gt;0,0,IF(AND(H546=0,SUM(K547:L547)=0),0,IF(D547=0,PPMT(D$65/12,COUNTIF(D$449:D547,0),D$66,Primary_Loan_Amount),0)))</f>
        <v>0</v>
      </c>
      <c r="I547" s="15">
        <f>-$G$52-SUM(H$449:H547)</f>
        <v>-23217621.943162207</v>
      </c>
      <c r="J547" s="24">
        <f t="shared" si="83"/>
        <v>0</v>
      </c>
      <c r="K547" s="51">
        <f>IF(L547=1,0,IF(SUM(K$449:K546)&gt;=Construction_Timeline,0,1))</f>
        <v>0</v>
      </c>
      <c r="L547" s="13">
        <f t="shared" si="85"/>
        <v>0</v>
      </c>
      <c r="M547" s="54">
        <f t="shared" si="80"/>
        <v>49004</v>
      </c>
      <c r="N547" s="7"/>
      <c r="O547" s="12"/>
      <c r="P547" s="98"/>
      <c r="Q547" s="98"/>
      <c r="R547" s="98"/>
      <c r="S547" s="98"/>
      <c r="T547" s="3"/>
      <c r="U547" s="98"/>
      <c r="V547" s="98"/>
      <c r="W547" s="98"/>
      <c r="X547" s="98"/>
    </row>
    <row r="548" spans="2:24">
      <c r="B548" s="7"/>
      <c r="C548" s="7">
        <v>99</v>
      </c>
      <c r="D548" s="24">
        <f t="shared" si="84"/>
        <v>0</v>
      </c>
      <c r="E548" s="103">
        <f t="shared" si="81"/>
        <v>0</v>
      </c>
      <c r="F548" s="53"/>
      <c r="G548" s="24">
        <f t="shared" si="82"/>
        <v>0</v>
      </c>
      <c r="H548" s="15">
        <f>IF(G548&gt;0,0,IF(AND(H547=0,SUM(K548:L548)=0),0,IF(D548=0,PPMT(D$65/12,COUNTIF(D$449:D548,0),D$66,Primary_Loan_Amount),0)))</f>
        <v>0</v>
      </c>
      <c r="I548" s="15">
        <f>-$G$52-SUM(H$449:H548)</f>
        <v>-23217621.943162207</v>
      </c>
      <c r="J548" s="24">
        <f t="shared" si="83"/>
        <v>0</v>
      </c>
      <c r="K548" s="51">
        <f>IF(L548=1,0,IF(SUM(K$449:K547)&gt;=Construction_Timeline,0,1))</f>
        <v>0</v>
      </c>
      <c r="L548" s="13">
        <f t="shared" si="85"/>
        <v>0</v>
      </c>
      <c r="M548" s="54">
        <f t="shared" si="80"/>
        <v>49035</v>
      </c>
      <c r="N548" s="7"/>
      <c r="O548" s="12"/>
      <c r="P548" s="98"/>
      <c r="Q548" s="98"/>
      <c r="R548" s="98"/>
      <c r="S548" s="98"/>
      <c r="T548" s="3"/>
      <c r="U548" s="98"/>
      <c r="V548" s="98"/>
      <c r="W548" s="98"/>
      <c r="X548" s="98"/>
    </row>
    <row r="549" spans="2:24">
      <c r="B549" s="7"/>
      <c r="C549" s="7">
        <v>100</v>
      </c>
      <c r="D549" s="24">
        <f t="shared" si="84"/>
        <v>0</v>
      </c>
      <c r="E549" s="103">
        <f t="shared" si="81"/>
        <v>0</v>
      </c>
      <c r="F549" s="53"/>
      <c r="G549" s="24">
        <f t="shared" si="82"/>
        <v>0</v>
      </c>
      <c r="H549" s="15">
        <f>IF(G549&gt;0,0,IF(AND(H548=0,SUM(K549:L549)=0),0,IF(D549=0,PPMT(D$65/12,COUNTIF(D$449:D549,0),D$66,Primary_Loan_Amount),0)))</f>
        <v>0</v>
      </c>
      <c r="I549" s="15">
        <f>-$G$52-SUM(H$449:H549)</f>
        <v>-23217621.943162207</v>
      </c>
      <c r="J549" s="24">
        <f t="shared" si="83"/>
        <v>0</v>
      </c>
      <c r="K549" s="51">
        <f>IF(L549=1,0,IF(SUM(K$449:K548)&gt;=Construction_Timeline,0,1))</f>
        <v>0</v>
      </c>
      <c r="L549" s="13">
        <f t="shared" si="85"/>
        <v>0</v>
      </c>
      <c r="M549" s="54">
        <f t="shared" si="80"/>
        <v>49065</v>
      </c>
      <c r="N549" s="7"/>
      <c r="O549" s="12"/>
      <c r="P549" s="98"/>
      <c r="Q549" s="98"/>
      <c r="R549" s="98"/>
      <c r="S549" s="98"/>
      <c r="T549" s="3"/>
      <c r="U549" s="98"/>
      <c r="V549" s="98"/>
      <c r="W549" s="98"/>
      <c r="X549" s="98"/>
    </row>
    <row r="550" spans="2:24">
      <c r="B550" s="7"/>
      <c r="C550" s="7">
        <v>101</v>
      </c>
      <c r="D550" s="24">
        <f t="shared" si="84"/>
        <v>0</v>
      </c>
      <c r="E550" s="103">
        <f t="shared" si="81"/>
        <v>0</v>
      </c>
      <c r="F550" s="53"/>
      <c r="G550" s="24">
        <f t="shared" si="82"/>
        <v>0</v>
      </c>
      <c r="H550" s="15">
        <f>IF(G550&gt;0,0,IF(AND(H549=0,SUM(K550:L550)=0),0,IF(D550=0,PPMT(D$65/12,COUNTIF(D$449:D550,0),D$66,Primary_Loan_Amount),0)))</f>
        <v>0</v>
      </c>
      <c r="I550" s="15">
        <f>-$G$52-SUM(H$449:H550)</f>
        <v>-23217621.943162207</v>
      </c>
      <c r="J550" s="24">
        <f t="shared" si="83"/>
        <v>0</v>
      </c>
      <c r="K550" s="51">
        <f>IF(L550=1,0,IF(SUM(K$449:K549)&gt;=Construction_Timeline,0,1))</f>
        <v>0</v>
      </c>
      <c r="L550" s="13">
        <f t="shared" si="85"/>
        <v>0</v>
      </c>
      <c r="M550" s="54">
        <f t="shared" si="80"/>
        <v>49096</v>
      </c>
      <c r="N550" s="7"/>
      <c r="O550" s="12"/>
      <c r="P550" s="98"/>
      <c r="Q550" s="98"/>
      <c r="R550" s="98"/>
      <c r="S550" s="98"/>
      <c r="T550" s="3"/>
      <c r="U550" s="98"/>
      <c r="V550" s="98"/>
      <c r="W550" s="98"/>
      <c r="X550" s="98"/>
    </row>
    <row r="551" spans="2:24">
      <c r="B551" s="7"/>
      <c r="C551" s="7">
        <v>102</v>
      </c>
      <c r="D551" s="24">
        <f t="shared" si="84"/>
        <v>0</v>
      </c>
      <c r="E551" s="103">
        <f t="shared" si="81"/>
        <v>0</v>
      </c>
      <c r="F551" s="53"/>
      <c r="G551" s="24">
        <f t="shared" si="82"/>
        <v>0</v>
      </c>
      <c r="H551" s="15">
        <f>IF(G551&gt;0,0,IF(AND(H550=0,SUM(K551:L551)=0),0,IF(D551=0,PPMT(D$65/12,COUNTIF(D$449:D551,0),D$66,Primary_Loan_Amount),0)))</f>
        <v>0</v>
      </c>
      <c r="I551" s="15">
        <f>-$G$52-SUM(H$449:H551)</f>
        <v>-23217621.943162207</v>
      </c>
      <c r="J551" s="24">
        <f t="shared" si="83"/>
        <v>0</v>
      </c>
      <c r="K551" s="51">
        <f>IF(L551=1,0,IF(SUM(K$449:K550)&gt;=Construction_Timeline,0,1))</f>
        <v>0</v>
      </c>
      <c r="L551" s="13">
        <f t="shared" si="85"/>
        <v>0</v>
      </c>
      <c r="M551" s="54">
        <f t="shared" si="80"/>
        <v>49126</v>
      </c>
      <c r="N551" s="7"/>
      <c r="O551" s="12"/>
      <c r="P551" s="98"/>
      <c r="Q551" s="98"/>
      <c r="R551" s="98"/>
      <c r="S551" s="98"/>
      <c r="T551" s="3"/>
      <c r="U551" s="98"/>
      <c r="V551" s="98"/>
      <c r="W551" s="98"/>
      <c r="X551" s="98"/>
    </row>
    <row r="552" spans="2:24">
      <c r="B552" s="7"/>
      <c r="C552" s="7">
        <v>103</v>
      </c>
      <c r="D552" s="24">
        <f t="shared" si="84"/>
        <v>0</v>
      </c>
      <c r="E552" s="103">
        <f t="shared" si="81"/>
        <v>0</v>
      </c>
      <c r="F552" s="53"/>
      <c r="G552" s="24">
        <f t="shared" si="82"/>
        <v>0</v>
      </c>
      <c r="H552" s="15">
        <f>IF(G552&gt;0,0,IF(AND(H551=0,SUM(K552:L552)=0),0,IF(D552=0,PPMT(D$65/12,COUNTIF(D$449:D552,0),D$66,Primary_Loan_Amount),0)))</f>
        <v>0</v>
      </c>
      <c r="I552" s="15">
        <f>-$G$52-SUM(H$449:H552)</f>
        <v>-23217621.943162207</v>
      </c>
      <c r="J552" s="24">
        <f t="shared" si="83"/>
        <v>0</v>
      </c>
      <c r="K552" s="51">
        <f>IF(L552=1,0,IF(SUM(K$449:K551)&gt;=Construction_Timeline,0,1))</f>
        <v>0</v>
      </c>
      <c r="L552" s="13">
        <f t="shared" si="85"/>
        <v>0</v>
      </c>
      <c r="M552" s="54">
        <f t="shared" si="80"/>
        <v>49157</v>
      </c>
      <c r="N552" s="7"/>
      <c r="O552" s="12"/>
      <c r="P552" s="98"/>
      <c r="Q552" s="98"/>
      <c r="R552" s="98"/>
      <c r="S552" s="98"/>
      <c r="T552" s="3"/>
      <c r="U552" s="98"/>
      <c r="V552" s="98"/>
      <c r="W552" s="98"/>
      <c r="X552" s="98"/>
    </row>
    <row r="553" spans="2:24">
      <c r="B553" s="7"/>
      <c r="C553" s="7">
        <v>104</v>
      </c>
      <c r="D553" s="24">
        <f t="shared" si="84"/>
        <v>0</v>
      </c>
      <c r="E553" s="103">
        <f t="shared" si="81"/>
        <v>0</v>
      </c>
      <c r="F553" s="53"/>
      <c r="G553" s="24">
        <f t="shared" si="82"/>
        <v>0</v>
      </c>
      <c r="H553" s="15">
        <f>IF(G553&gt;0,0,IF(AND(H552=0,SUM(K553:L553)=0),0,IF(D553=0,PPMT(D$65/12,COUNTIF(D$449:D553,0),D$66,Primary_Loan_Amount),0)))</f>
        <v>0</v>
      </c>
      <c r="I553" s="15">
        <f>-$G$52-SUM(H$449:H553)</f>
        <v>-23217621.943162207</v>
      </c>
      <c r="J553" s="24">
        <f t="shared" si="83"/>
        <v>0</v>
      </c>
      <c r="K553" s="51">
        <f>IF(L553=1,0,IF(SUM(K$449:K552)&gt;=Construction_Timeline,0,1))</f>
        <v>0</v>
      </c>
      <c r="L553" s="13">
        <f t="shared" si="85"/>
        <v>0</v>
      </c>
      <c r="M553" s="54">
        <f t="shared" si="80"/>
        <v>49188</v>
      </c>
      <c r="N553" s="7"/>
      <c r="O553" s="12"/>
      <c r="P553" s="98"/>
      <c r="Q553" s="98"/>
      <c r="R553" s="98"/>
      <c r="S553" s="98"/>
      <c r="T553" s="3"/>
      <c r="U553" s="98"/>
      <c r="V553" s="98"/>
      <c r="W553" s="98"/>
      <c r="X553" s="98"/>
    </row>
    <row r="554" spans="2:24">
      <c r="B554" s="7"/>
      <c r="C554" s="7">
        <v>105</v>
      </c>
      <c r="D554" s="24">
        <f t="shared" si="84"/>
        <v>0</v>
      </c>
      <c r="E554" s="103">
        <f t="shared" si="81"/>
        <v>0</v>
      </c>
      <c r="F554" s="53"/>
      <c r="G554" s="24">
        <f t="shared" si="82"/>
        <v>0</v>
      </c>
      <c r="H554" s="15">
        <f>IF(G554&gt;0,0,IF(AND(H553=0,SUM(K554:L554)=0),0,IF(D554=0,PPMT(D$65/12,COUNTIF(D$449:D554,0),D$66,Primary_Loan_Amount),0)))</f>
        <v>0</v>
      </c>
      <c r="I554" s="15">
        <f>-$G$52-SUM(H$449:H554)</f>
        <v>-23217621.943162207</v>
      </c>
      <c r="J554" s="24">
        <f t="shared" si="83"/>
        <v>0</v>
      </c>
      <c r="K554" s="51">
        <f>IF(L554=1,0,IF(SUM(K$449:K553)&gt;=Construction_Timeline,0,1))</f>
        <v>0</v>
      </c>
      <c r="L554" s="13">
        <f t="shared" si="85"/>
        <v>0</v>
      </c>
      <c r="M554" s="54">
        <f t="shared" si="80"/>
        <v>49218</v>
      </c>
      <c r="N554" s="7"/>
      <c r="O554" s="12"/>
      <c r="P554" s="98"/>
      <c r="Q554" s="98"/>
      <c r="R554" s="98"/>
      <c r="S554" s="98"/>
      <c r="T554" s="3"/>
      <c r="U554" s="98"/>
      <c r="V554" s="98"/>
      <c r="W554" s="98"/>
      <c r="X554" s="98"/>
    </row>
    <row r="555" spans="2:24">
      <c r="B555" s="7"/>
      <c r="C555" s="7">
        <v>106</v>
      </c>
      <c r="D555" s="24">
        <f t="shared" si="84"/>
        <v>0</v>
      </c>
      <c r="E555" s="103">
        <f t="shared" si="81"/>
        <v>0</v>
      </c>
      <c r="F555" s="53"/>
      <c r="G555" s="24">
        <f t="shared" si="82"/>
        <v>0</v>
      </c>
      <c r="H555" s="15">
        <f>IF(G555&gt;0,0,IF(AND(H554=0,SUM(K555:L555)=0),0,IF(D555=0,PPMT(D$65/12,COUNTIF(D$449:D555,0),D$66,Primary_Loan_Amount),0)))</f>
        <v>0</v>
      </c>
      <c r="I555" s="15">
        <f>-$G$52-SUM(H$449:H555)</f>
        <v>-23217621.943162207</v>
      </c>
      <c r="J555" s="24">
        <f t="shared" si="83"/>
        <v>0</v>
      </c>
      <c r="K555" s="51">
        <f>IF(L555=1,0,IF(SUM(K$449:K554)&gt;=Construction_Timeline,0,1))</f>
        <v>0</v>
      </c>
      <c r="L555" s="13">
        <f t="shared" si="85"/>
        <v>0</v>
      </c>
      <c r="M555" s="54">
        <f t="shared" si="80"/>
        <v>49249</v>
      </c>
      <c r="N555" s="7"/>
      <c r="O555" s="12"/>
      <c r="P555" s="98"/>
      <c r="Q555" s="98"/>
      <c r="R555" s="98"/>
      <c r="S555" s="98"/>
      <c r="T555" s="3"/>
      <c r="U555" s="98"/>
      <c r="V555" s="98"/>
      <c r="W555" s="98"/>
      <c r="X555" s="98"/>
    </row>
    <row r="556" spans="2:24">
      <c r="B556" s="7"/>
      <c r="C556" s="7">
        <v>107</v>
      </c>
      <c r="D556" s="24">
        <f t="shared" si="84"/>
        <v>0</v>
      </c>
      <c r="E556" s="103">
        <f t="shared" si="81"/>
        <v>0</v>
      </c>
      <c r="F556" s="53"/>
      <c r="G556" s="24">
        <f t="shared" si="82"/>
        <v>0</v>
      </c>
      <c r="H556" s="15">
        <f>IF(G556&gt;0,0,IF(AND(H555=0,SUM(K556:L556)=0),0,IF(D556=0,PPMT(D$65/12,COUNTIF(D$449:D556,0),D$66,Primary_Loan_Amount),0)))</f>
        <v>0</v>
      </c>
      <c r="I556" s="15">
        <f>-$G$52-SUM(H$449:H556)</f>
        <v>-23217621.943162207</v>
      </c>
      <c r="J556" s="24">
        <f t="shared" si="83"/>
        <v>0</v>
      </c>
      <c r="K556" s="51">
        <f>IF(L556=1,0,IF(SUM(K$449:K555)&gt;=Construction_Timeline,0,1))</f>
        <v>0</v>
      </c>
      <c r="L556" s="13">
        <f t="shared" si="85"/>
        <v>0</v>
      </c>
      <c r="M556" s="54">
        <f t="shared" si="80"/>
        <v>49279</v>
      </c>
      <c r="N556" s="7"/>
      <c r="O556" s="12"/>
      <c r="P556" s="98"/>
      <c r="Q556" s="98"/>
      <c r="R556" s="98"/>
      <c r="S556" s="98"/>
      <c r="T556" s="3"/>
      <c r="U556" s="98"/>
      <c r="V556" s="98"/>
      <c r="W556" s="98"/>
      <c r="X556" s="98"/>
    </row>
    <row r="557" spans="2:24">
      <c r="B557" s="7"/>
      <c r="C557" s="7">
        <v>108</v>
      </c>
      <c r="D557" s="24">
        <f t="shared" si="84"/>
        <v>0</v>
      </c>
      <c r="E557" s="103">
        <f t="shared" si="81"/>
        <v>0</v>
      </c>
      <c r="F557" s="53"/>
      <c r="G557" s="24">
        <f t="shared" si="82"/>
        <v>0</v>
      </c>
      <c r="H557" s="15">
        <f>IF(G557&gt;0,0,IF(AND(H556=0,SUM(K557:L557)=0),0,IF(D557=0,PPMT(D$65/12,COUNTIF(D$449:D557,0),D$66,Primary_Loan_Amount),0)))</f>
        <v>0</v>
      </c>
      <c r="I557" s="15">
        <f>-$G$52-SUM(H$449:H557)</f>
        <v>-23217621.943162207</v>
      </c>
      <c r="J557" s="24">
        <f t="shared" si="83"/>
        <v>0</v>
      </c>
      <c r="K557" s="51">
        <f>IF(L557=1,0,IF(SUM(K$449:K556)&gt;=Construction_Timeline,0,1))</f>
        <v>0</v>
      </c>
      <c r="L557" s="13">
        <f t="shared" si="85"/>
        <v>0</v>
      </c>
      <c r="M557" s="54">
        <f t="shared" si="80"/>
        <v>49310</v>
      </c>
      <c r="N557" s="7"/>
      <c r="O557" s="12"/>
      <c r="P557" s="98"/>
      <c r="Q557" s="98"/>
      <c r="R557" s="98"/>
      <c r="S557" s="98"/>
      <c r="T557" s="3"/>
      <c r="U557" s="98"/>
      <c r="V557" s="98"/>
      <c r="W557" s="98"/>
      <c r="X557" s="98"/>
    </row>
    <row r="558" spans="2:24">
      <c r="B558" s="7"/>
      <c r="C558" s="7">
        <v>109</v>
      </c>
      <c r="D558" s="24">
        <f t="shared" si="84"/>
        <v>0</v>
      </c>
      <c r="E558" s="103">
        <f t="shared" si="81"/>
        <v>0</v>
      </c>
      <c r="F558" s="53"/>
      <c r="G558" s="24">
        <f t="shared" si="82"/>
        <v>0</v>
      </c>
      <c r="H558" s="15">
        <f>IF(G558&gt;0,0,IF(AND(H557=0,SUM(K558:L558)=0),0,IF(D558=0,PPMT(D$65/12,COUNTIF(D$449:D558,0),D$66,Primary_Loan_Amount),0)))</f>
        <v>0</v>
      </c>
      <c r="I558" s="15">
        <f>-$G$52-SUM(H$449:H558)</f>
        <v>-23217621.943162207</v>
      </c>
      <c r="J558" s="24">
        <f t="shared" si="83"/>
        <v>0</v>
      </c>
      <c r="K558" s="51">
        <f>IF(L558=1,0,IF(SUM(K$449:K557)&gt;=Construction_Timeline,0,1))</f>
        <v>0</v>
      </c>
      <c r="L558" s="13">
        <f t="shared" si="85"/>
        <v>0</v>
      </c>
      <c r="M558" s="54">
        <f t="shared" si="80"/>
        <v>49341</v>
      </c>
      <c r="N558" s="7"/>
      <c r="O558" s="12"/>
      <c r="P558" s="98"/>
      <c r="Q558" s="98"/>
      <c r="R558" s="98"/>
      <c r="S558" s="98"/>
      <c r="T558" s="3"/>
      <c r="U558" s="98"/>
      <c r="V558" s="98"/>
      <c r="W558" s="98"/>
      <c r="X558" s="98"/>
    </row>
    <row r="559" spans="2:24">
      <c r="B559" s="7"/>
      <c r="C559" s="7">
        <v>110</v>
      </c>
      <c r="D559" s="24">
        <f t="shared" si="84"/>
        <v>0</v>
      </c>
      <c r="E559" s="103">
        <f t="shared" si="81"/>
        <v>0</v>
      </c>
      <c r="F559" s="53"/>
      <c r="G559" s="24">
        <f t="shared" si="82"/>
        <v>0</v>
      </c>
      <c r="H559" s="15">
        <f>IF(G559&gt;0,0,IF(AND(H558=0,SUM(K559:L559)=0),0,IF(D559=0,PPMT(D$65/12,COUNTIF(D$449:D559,0),D$66,Primary_Loan_Amount),0)))</f>
        <v>0</v>
      </c>
      <c r="I559" s="15">
        <f>-$G$52-SUM(H$449:H559)</f>
        <v>-23217621.943162207</v>
      </c>
      <c r="J559" s="24">
        <f t="shared" si="83"/>
        <v>0</v>
      </c>
      <c r="K559" s="51">
        <f>IF(L559=1,0,IF(SUM(K$449:K558)&gt;=Construction_Timeline,0,1))</f>
        <v>0</v>
      </c>
      <c r="L559" s="13">
        <f t="shared" si="85"/>
        <v>0</v>
      </c>
      <c r="M559" s="54">
        <f t="shared" si="80"/>
        <v>49369</v>
      </c>
      <c r="N559" s="7"/>
      <c r="O559" s="12"/>
      <c r="P559" s="98"/>
      <c r="Q559" s="98"/>
      <c r="R559" s="98"/>
      <c r="S559" s="98"/>
      <c r="T559" s="3"/>
      <c r="U559" s="98"/>
      <c r="V559" s="98"/>
      <c r="W559" s="98"/>
      <c r="X559" s="98"/>
    </row>
    <row r="560" spans="2:24">
      <c r="B560" s="7"/>
      <c r="C560" s="7">
        <v>111</v>
      </c>
      <c r="D560" s="24">
        <f t="shared" si="84"/>
        <v>0</v>
      </c>
      <c r="E560" s="103">
        <f t="shared" si="81"/>
        <v>0</v>
      </c>
      <c r="F560" s="53"/>
      <c r="G560" s="24">
        <f t="shared" si="82"/>
        <v>0</v>
      </c>
      <c r="H560" s="15">
        <f>IF(G560&gt;0,0,IF(AND(H559=0,SUM(K560:L560)=0),0,IF(D560=0,PPMT(D$65/12,COUNTIF(D$449:D560,0),D$66,Primary_Loan_Amount),0)))</f>
        <v>0</v>
      </c>
      <c r="I560" s="15">
        <f>-$G$52-SUM(H$449:H560)</f>
        <v>-23217621.943162207</v>
      </c>
      <c r="J560" s="24">
        <f t="shared" si="83"/>
        <v>0</v>
      </c>
      <c r="K560" s="51">
        <f>IF(L560=1,0,IF(SUM(K$449:K559)&gt;=Construction_Timeline,0,1))</f>
        <v>0</v>
      </c>
      <c r="L560" s="13">
        <f t="shared" si="85"/>
        <v>0</v>
      </c>
      <c r="M560" s="54">
        <f t="shared" si="80"/>
        <v>49400</v>
      </c>
      <c r="N560" s="7"/>
      <c r="O560" s="12"/>
      <c r="P560" s="98"/>
      <c r="Q560" s="98"/>
      <c r="R560" s="98"/>
      <c r="S560" s="98"/>
      <c r="T560" s="3"/>
      <c r="U560" s="98"/>
      <c r="V560" s="98"/>
      <c r="W560" s="98"/>
      <c r="X560" s="98"/>
    </row>
    <row r="561" spans="2:24">
      <c r="B561" s="7"/>
      <c r="C561" s="7">
        <v>112</v>
      </c>
      <c r="D561" s="24">
        <f t="shared" si="84"/>
        <v>0</v>
      </c>
      <c r="E561" s="103">
        <f t="shared" si="81"/>
        <v>0</v>
      </c>
      <c r="F561" s="53"/>
      <c r="G561" s="24">
        <f t="shared" si="82"/>
        <v>0</v>
      </c>
      <c r="H561" s="15">
        <f>IF(G561&gt;0,0,IF(AND(H560=0,SUM(K561:L561)=0),0,IF(D561=0,PPMT(D$65/12,COUNTIF(D$449:D561,0),D$66,Primary_Loan_Amount),0)))</f>
        <v>0</v>
      </c>
      <c r="I561" s="15">
        <f>-$G$52-SUM(H$449:H561)</f>
        <v>-23217621.943162207</v>
      </c>
      <c r="J561" s="24">
        <f t="shared" si="83"/>
        <v>0</v>
      </c>
      <c r="K561" s="51">
        <f>IF(L561=1,0,IF(SUM(K$449:K560)&gt;=Construction_Timeline,0,1))</f>
        <v>0</v>
      </c>
      <c r="L561" s="13">
        <f t="shared" si="85"/>
        <v>0</v>
      </c>
      <c r="M561" s="54">
        <f t="shared" si="80"/>
        <v>49430</v>
      </c>
      <c r="N561" s="7"/>
      <c r="O561" s="12"/>
      <c r="P561" s="98"/>
      <c r="Q561" s="98"/>
      <c r="R561" s="98"/>
      <c r="S561" s="98"/>
      <c r="T561" s="3"/>
      <c r="U561" s="98"/>
      <c r="V561" s="98"/>
      <c r="W561" s="98"/>
      <c r="X561" s="98"/>
    </row>
    <row r="562" spans="2:24">
      <c r="B562" s="7"/>
      <c r="C562" s="7">
        <v>113</v>
      </c>
      <c r="D562" s="24">
        <f t="shared" si="84"/>
        <v>0</v>
      </c>
      <c r="E562" s="103">
        <f t="shared" si="81"/>
        <v>0</v>
      </c>
      <c r="F562" s="53"/>
      <c r="G562" s="24">
        <f t="shared" si="82"/>
        <v>0</v>
      </c>
      <c r="H562" s="15">
        <f>IF(G562&gt;0,0,IF(AND(H561=0,SUM(K562:L562)=0),0,IF(D562=0,PPMT(D$65/12,COUNTIF(D$449:D562,0),D$66,Primary_Loan_Amount),0)))</f>
        <v>0</v>
      </c>
      <c r="I562" s="15">
        <f>-$G$52-SUM(H$449:H562)</f>
        <v>-23217621.943162207</v>
      </c>
      <c r="J562" s="24">
        <f t="shared" si="83"/>
        <v>0</v>
      </c>
      <c r="K562" s="51">
        <f>IF(L562=1,0,IF(SUM(K$449:K561)&gt;=Construction_Timeline,0,1))</f>
        <v>0</v>
      </c>
      <c r="L562" s="13">
        <f t="shared" si="85"/>
        <v>0</v>
      </c>
      <c r="M562" s="54">
        <f t="shared" si="80"/>
        <v>49461</v>
      </c>
      <c r="N562" s="7"/>
      <c r="O562" s="12"/>
      <c r="P562" s="98"/>
      <c r="Q562" s="98"/>
      <c r="R562" s="98"/>
      <c r="S562" s="98"/>
      <c r="T562" s="3"/>
      <c r="U562" s="98"/>
      <c r="V562" s="98"/>
      <c r="W562" s="98"/>
      <c r="X562" s="98"/>
    </row>
    <row r="563" spans="2:24">
      <c r="B563" s="7"/>
      <c r="C563" s="7">
        <v>114</v>
      </c>
      <c r="D563" s="24">
        <f t="shared" si="84"/>
        <v>0</v>
      </c>
      <c r="E563" s="103">
        <f t="shared" si="81"/>
        <v>0</v>
      </c>
      <c r="F563" s="53"/>
      <c r="G563" s="24">
        <f t="shared" si="82"/>
        <v>0</v>
      </c>
      <c r="H563" s="15">
        <f>IF(G563&gt;0,0,IF(AND(H562=0,SUM(K563:L563)=0),0,IF(D563=0,PPMT(D$65/12,COUNTIF(D$449:D563,0),D$66,Primary_Loan_Amount),0)))</f>
        <v>0</v>
      </c>
      <c r="I563" s="15">
        <f>-$G$52-SUM(H$449:H563)</f>
        <v>-23217621.943162207</v>
      </c>
      <c r="J563" s="24">
        <f t="shared" si="83"/>
        <v>0</v>
      </c>
      <c r="K563" s="51">
        <f>IF(L563=1,0,IF(SUM(K$449:K562)&gt;=Construction_Timeline,0,1))</f>
        <v>0</v>
      </c>
      <c r="L563" s="13">
        <f t="shared" si="85"/>
        <v>0</v>
      </c>
      <c r="M563" s="54">
        <f t="shared" si="80"/>
        <v>49491</v>
      </c>
      <c r="N563" s="7"/>
      <c r="O563" s="12"/>
      <c r="P563" s="98"/>
      <c r="Q563" s="98"/>
      <c r="R563" s="98"/>
      <c r="S563" s="98"/>
      <c r="T563" s="3"/>
      <c r="U563" s="98"/>
      <c r="V563" s="98"/>
      <c r="W563" s="98"/>
      <c r="X563" s="98"/>
    </row>
    <row r="564" spans="2:24">
      <c r="B564" s="7"/>
      <c r="C564" s="7">
        <v>115</v>
      </c>
      <c r="D564" s="24">
        <f t="shared" si="84"/>
        <v>0</v>
      </c>
      <c r="E564" s="103">
        <f t="shared" si="81"/>
        <v>0</v>
      </c>
      <c r="F564" s="53"/>
      <c r="G564" s="24">
        <f t="shared" si="82"/>
        <v>0</v>
      </c>
      <c r="H564" s="15">
        <f>IF(G564&gt;0,0,IF(AND(H563=0,SUM(K564:L564)=0),0,IF(D564=0,PPMT(D$65/12,COUNTIF(D$449:D564,0),D$66,Primary_Loan_Amount),0)))</f>
        <v>0</v>
      </c>
      <c r="I564" s="15">
        <f>-$G$52-SUM(H$449:H564)</f>
        <v>-23217621.943162207</v>
      </c>
      <c r="J564" s="24">
        <f t="shared" si="83"/>
        <v>0</v>
      </c>
      <c r="K564" s="51">
        <f>IF(L564=1,0,IF(SUM(K$449:K563)&gt;=Construction_Timeline,0,1))</f>
        <v>0</v>
      </c>
      <c r="L564" s="13">
        <f t="shared" si="85"/>
        <v>0</v>
      </c>
      <c r="M564" s="54">
        <f t="shared" si="80"/>
        <v>49522</v>
      </c>
      <c r="N564" s="7"/>
      <c r="O564" s="12"/>
      <c r="P564" s="98"/>
      <c r="Q564" s="98"/>
      <c r="R564" s="98"/>
      <c r="S564" s="98"/>
      <c r="T564" s="3"/>
      <c r="U564" s="98"/>
      <c r="V564" s="98"/>
      <c r="W564" s="98"/>
      <c r="X564" s="98"/>
    </row>
    <row r="565" spans="2:24">
      <c r="B565" s="7"/>
      <c r="C565" s="7">
        <v>116</v>
      </c>
      <c r="D565" s="24">
        <f t="shared" si="84"/>
        <v>0</v>
      </c>
      <c r="E565" s="103">
        <f t="shared" si="81"/>
        <v>0</v>
      </c>
      <c r="F565" s="53"/>
      <c r="G565" s="24">
        <f t="shared" si="82"/>
        <v>0</v>
      </c>
      <c r="H565" s="15">
        <f>IF(G565&gt;0,0,IF(AND(H564=0,SUM(K565:L565)=0),0,IF(D565=0,PPMT(D$65/12,COUNTIF(D$449:D565,0),D$66,Primary_Loan_Amount),0)))</f>
        <v>0</v>
      </c>
      <c r="I565" s="15">
        <f>-$G$52-SUM(H$449:H565)</f>
        <v>-23217621.943162207</v>
      </c>
      <c r="J565" s="24">
        <f t="shared" si="83"/>
        <v>0</v>
      </c>
      <c r="K565" s="51">
        <f>IF(L565=1,0,IF(SUM(K$449:K564)&gt;=Construction_Timeline,0,1))</f>
        <v>0</v>
      </c>
      <c r="L565" s="13">
        <f t="shared" si="85"/>
        <v>0</v>
      </c>
      <c r="M565" s="54">
        <f t="shared" si="80"/>
        <v>49553</v>
      </c>
      <c r="N565" s="7"/>
      <c r="O565" s="12"/>
      <c r="P565" s="98"/>
      <c r="Q565" s="98"/>
      <c r="R565" s="98"/>
      <c r="S565" s="98"/>
      <c r="T565" s="3"/>
      <c r="U565" s="98"/>
      <c r="V565" s="98"/>
      <c r="W565" s="98"/>
      <c r="X565" s="98"/>
    </row>
    <row r="566" spans="2:24">
      <c r="B566" s="7"/>
      <c r="C566" s="7">
        <v>117</v>
      </c>
      <c r="D566" s="24">
        <f t="shared" si="84"/>
        <v>0</v>
      </c>
      <c r="E566" s="103">
        <f t="shared" si="81"/>
        <v>0</v>
      </c>
      <c r="F566" s="53"/>
      <c r="G566" s="24">
        <f t="shared" si="82"/>
        <v>0</v>
      </c>
      <c r="H566" s="15">
        <f>IF(G566&gt;0,0,IF(AND(H565=0,SUM(K566:L566)=0),0,IF(D566=0,PPMT(D$65/12,COUNTIF(D$449:D566,0),D$66,Primary_Loan_Amount),0)))</f>
        <v>0</v>
      </c>
      <c r="I566" s="15">
        <f>-$G$52-SUM(H$449:H566)</f>
        <v>-23217621.943162207</v>
      </c>
      <c r="J566" s="24">
        <f t="shared" si="83"/>
        <v>0</v>
      </c>
      <c r="K566" s="51">
        <f>IF(L566=1,0,IF(SUM(K$449:K565)&gt;=Construction_Timeline,0,1))</f>
        <v>0</v>
      </c>
      <c r="L566" s="13">
        <f t="shared" si="85"/>
        <v>0</v>
      </c>
      <c r="M566" s="54">
        <f t="shared" si="80"/>
        <v>49583</v>
      </c>
      <c r="N566" s="7"/>
      <c r="O566" s="12"/>
      <c r="P566" s="98"/>
      <c r="Q566" s="98"/>
      <c r="R566" s="98"/>
      <c r="S566" s="98"/>
      <c r="T566" s="3"/>
      <c r="U566" s="98"/>
      <c r="V566" s="98"/>
      <c r="W566" s="98"/>
      <c r="X566" s="98"/>
    </row>
    <row r="567" spans="2:24">
      <c r="B567" s="7"/>
      <c r="C567" s="7">
        <v>118</v>
      </c>
      <c r="D567" s="24">
        <f t="shared" si="84"/>
        <v>0</v>
      </c>
      <c r="E567" s="103">
        <f t="shared" si="81"/>
        <v>0</v>
      </c>
      <c r="F567" s="53"/>
      <c r="G567" s="24">
        <f t="shared" si="82"/>
        <v>0</v>
      </c>
      <c r="H567" s="15">
        <f>IF(G567&gt;0,0,IF(AND(H566=0,SUM(K567:L567)=0),0,IF(D567=0,PPMT(D$65/12,COUNTIF(D$449:D567,0),D$66,Primary_Loan_Amount),0)))</f>
        <v>0</v>
      </c>
      <c r="I567" s="15">
        <f>-$G$52-SUM(H$449:H567)</f>
        <v>-23217621.943162207</v>
      </c>
      <c r="J567" s="24">
        <f t="shared" si="83"/>
        <v>0</v>
      </c>
      <c r="K567" s="51">
        <f>IF(L567=1,0,IF(SUM(K$449:K566)&gt;=Construction_Timeline,0,1))</f>
        <v>0</v>
      </c>
      <c r="L567" s="13">
        <f t="shared" si="85"/>
        <v>0</v>
      </c>
      <c r="M567" s="54">
        <f t="shared" si="80"/>
        <v>49614</v>
      </c>
      <c r="N567" s="7"/>
      <c r="O567" s="12"/>
      <c r="P567" s="98"/>
      <c r="Q567" s="98"/>
      <c r="R567" s="98"/>
      <c r="S567" s="98"/>
      <c r="T567" s="3"/>
      <c r="U567" s="98"/>
      <c r="V567" s="98"/>
      <c r="W567" s="98"/>
      <c r="X567" s="98"/>
    </row>
    <row r="568" spans="2:24">
      <c r="B568" s="7"/>
      <c r="C568" s="7">
        <v>119</v>
      </c>
      <c r="D568" s="24">
        <f t="shared" si="84"/>
        <v>0</v>
      </c>
      <c r="E568" s="103">
        <f t="shared" si="81"/>
        <v>0</v>
      </c>
      <c r="F568" s="53"/>
      <c r="G568" s="24">
        <f t="shared" si="82"/>
        <v>0</v>
      </c>
      <c r="H568" s="15">
        <f>IF(G568&gt;0,0,IF(AND(H567=0,SUM(K568:L568)=0),0,IF(D568=0,PPMT(D$65/12,COUNTIF(D$449:D568,0),D$66,Primary_Loan_Amount),0)))</f>
        <v>0</v>
      </c>
      <c r="I568" s="15">
        <f>-$G$52-SUM(H$449:H568)</f>
        <v>-23217621.943162207</v>
      </c>
      <c r="J568" s="24">
        <f t="shared" si="83"/>
        <v>0</v>
      </c>
      <c r="K568" s="51">
        <f>IF(L568=1,0,IF(SUM(K$449:K567)&gt;=Construction_Timeline,0,1))</f>
        <v>0</v>
      </c>
      <c r="L568" s="13">
        <f t="shared" si="85"/>
        <v>0</v>
      </c>
      <c r="M568" s="54">
        <f t="shared" si="80"/>
        <v>49644</v>
      </c>
      <c r="N568" s="7"/>
      <c r="O568" s="12"/>
      <c r="P568" s="98"/>
      <c r="Q568" s="98"/>
      <c r="R568" s="98"/>
      <c r="S568" s="98"/>
      <c r="T568" s="3"/>
      <c r="U568" s="98"/>
      <c r="V568" s="98"/>
      <c r="W568" s="98"/>
      <c r="X568" s="98"/>
    </row>
    <row r="569" spans="2:24">
      <c r="B569" s="7"/>
      <c r="C569" s="7">
        <v>120</v>
      </c>
      <c r="D569" s="24">
        <f t="shared" si="84"/>
        <v>0</v>
      </c>
      <c r="E569" s="103">
        <f t="shared" si="81"/>
        <v>0</v>
      </c>
      <c r="F569" s="53"/>
      <c r="G569" s="24">
        <f t="shared" si="82"/>
        <v>0</v>
      </c>
      <c r="H569" s="15">
        <f>IF(G569&gt;0,0,IF(AND(H568=0,SUM(K569:L569)=0),0,IF(D569=0,PPMT(D$65/12,COUNTIF(D$449:D569,0),D$66,Primary_Loan_Amount),0)))</f>
        <v>0</v>
      </c>
      <c r="I569" s="15">
        <f>-$G$52-SUM(H$449:H569)</f>
        <v>-23217621.943162207</v>
      </c>
      <c r="J569" s="24">
        <f t="shared" si="83"/>
        <v>0</v>
      </c>
      <c r="K569" s="51">
        <f>IF(L569=1,0,IF(SUM(K$449:K568)&gt;=Construction_Timeline,0,1))</f>
        <v>0</v>
      </c>
      <c r="L569" s="13">
        <f t="shared" si="85"/>
        <v>0</v>
      </c>
      <c r="M569" s="54">
        <f t="shared" si="80"/>
        <v>49675</v>
      </c>
      <c r="N569" s="7"/>
      <c r="O569" s="12"/>
      <c r="P569" s="98"/>
      <c r="Q569" s="98"/>
      <c r="R569" s="98"/>
      <c r="S569" s="98"/>
      <c r="T569" s="3"/>
      <c r="U569" s="98"/>
      <c r="V569" s="98"/>
      <c r="W569" s="98"/>
      <c r="X569" s="98"/>
    </row>
    <row r="570" spans="2:24">
      <c r="B570" s="7"/>
      <c r="C570" s="7">
        <v>121</v>
      </c>
      <c r="D570" s="24">
        <f t="shared" si="84"/>
        <v>0</v>
      </c>
      <c r="E570" s="103">
        <f t="shared" si="81"/>
        <v>0</v>
      </c>
      <c r="F570" s="53"/>
      <c r="G570" s="24">
        <f t="shared" si="82"/>
        <v>0</v>
      </c>
      <c r="H570" s="15">
        <f>IF(G570&gt;0,0,IF(AND(H569=0,SUM(K570:L570)=0),0,IF(D570=0,PPMT(D$65/12,COUNTIF(D$449:D570,0),D$66,Primary_Loan_Amount),0)))</f>
        <v>0</v>
      </c>
      <c r="I570" s="15">
        <f>-$G$52-SUM(H$449:H570)</f>
        <v>-23217621.943162207</v>
      </c>
      <c r="J570" s="24">
        <f t="shared" si="83"/>
        <v>0</v>
      </c>
      <c r="K570" s="51">
        <f>IF(L570=1,0,IF(SUM(K$449:K569)&gt;=Construction_Timeline,0,1))</f>
        <v>0</v>
      </c>
      <c r="L570" s="13">
        <f t="shared" si="85"/>
        <v>0</v>
      </c>
      <c r="M570" s="54">
        <f t="shared" si="80"/>
        <v>49706</v>
      </c>
      <c r="N570" s="7"/>
      <c r="O570" s="12"/>
      <c r="P570" s="98"/>
      <c r="Q570" s="98"/>
      <c r="R570" s="98"/>
      <c r="S570" s="98"/>
      <c r="T570" s="3"/>
      <c r="U570" s="98"/>
      <c r="V570" s="98"/>
      <c r="W570" s="98"/>
      <c r="X570" s="98"/>
    </row>
    <row r="571" spans="2:24">
      <c r="B571" s="7"/>
      <c r="C571" s="7">
        <v>122</v>
      </c>
      <c r="D571" s="24">
        <f t="shared" si="84"/>
        <v>0</v>
      </c>
      <c r="E571" s="103">
        <f t="shared" si="81"/>
        <v>0</v>
      </c>
      <c r="F571" s="53"/>
      <c r="G571" s="24">
        <f t="shared" si="82"/>
        <v>0</v>
      </c>
      <c r="H571" s="15">
        <f>IF(G571&gt;0,0,IF(AND(H570=0,SUM(K571:L571)=0),0,IF(D571=0,PPMT(D$65/12,COUNTIF(D$449:D571,0),D$66,Primary_Loan_Amount),0)))</f>
        <v>0</v>
      </c>
      <c r="I571" s="15">
        <f>-$G$52-SUM(H$449:H571)</f>
        <v>-23217621.943162207</v>
      </c>
      <c r="J571" s="24">
        <f t="shared" si="83"/>
        <v>0</v>
      </c>
      <c r="K571" s="51">
        <f>IF(L571=1,0,IF(SUM(K$449:K570)&gt;=Construction_Timeline,0,1))</f>
        <v>0</v>
      </c>
      <c r="L571" s="13">
        <f t="shared" si="85"/>
        <v>0</v>
      </c>
      <c r="M571" s="54">
        <f t="shared" si="80"/>
        <v>49735</v>
      </c>
      <c r="N571" s="7"/>
      <c r="O571" s="12"/>
      <c r="P571" s="98"/>
      <c r="Q571" s="98"/>
      <c r="R571" s="98"/>
      <c r="S571" s="98"/>
      <c r="T571" s="3"/>
      <c r="U571" s="98"/>
      <c r="V571" s="98"/>
      <c r="W571" s="98"/>
      <c r="X571" s="98"/>
    </row>
    <row r="572" spans="2:24">
      <c r="B572" s="7"/>
      <c r="C572" s="7">
        <v>123</v>
      </c>
      <c r="D572" s="24">
        <f t="shared" si="84"/>
        <v>0</v>
      </c>
      <c r="E572" s="103">
        <f t="shared" si="81"/>
        <v>0</v>
      </c>
      <c r="F572" s="53"/>
      <c r="G572" s="24">
        <f t="shared" si="82"/>
        <v>0</v>
      </c>
      <c r="H572" s="15">
        <f>IF(G572&gt;0,0,IF(AND(H571=0,SUM(K572:L572)=0),0,IF(D572=0,PPMT(D$65/12,COUNTIF(D$449:D572,0),D$66,Primary_Loan_Amount),0)))</f>
        <v>0</v>
      </c>
      <c r="I572" s="15">
        <f>-$G$52-SUM(H$449:H572)</f>
        <v>-23217621.943162207</v>
      </c>
      <c r="J572" s="24">
        <f t="shared" si="83"/>
        <v>0</v>
      </c>
      <c r="K572" s="51">
        <f>IF(L572=1,0,IF(SUM(K$449:K571)&gt;=Construction_Timeline,0,1))</f>
        <v>0</v>
      </c>
      <c r="L572" s="13">
        <f t="shared" si="85"/>
        <v>0</v>
      </c>
      <c r="M572" s="54">
        <f t="shared" si="80"/>
        <v>49766</v>
      </c>
      <c r="N572" s="7"/>
      <c r="O572" s="12"/>
      <c r="P572" s="98"/>
      <c r="Q572" s="98"/>
      <c r="R572" s="98"/>
      <c r="S572" s="98"/>
      <c r="T572" s="3"/>
      <c r="U572" s="98"/>
      <c r="V572" s="98"/>
      <c r="W572" s="98"/>
      <c r="X572" s="98"/>
    </row>
    <row r="573" spans="2:24">
      <c r="B573" s="7"/>
      <c r="C573" s="7">
        <v>124</v>
      </c>
      <c r="D573" s="24">
        <f t="shared" si="84"/>
        <v>0</v>
      </c>
      <c r="E573" s="103">
        <f t="shared" si="81"/>
        <v>0</v>
      </c>
      <c r="F573" s="53"/>
      <c r="G573" s="24">
        <f t="shared" si="82"/>
        <v>0</v>
      </c>
      <c r="H573" s="15">
        <f>IF(G573&gt;0,0,IF(AND(H572=0,SUM(K573:L573)=0),0,IF(D573=0,PPMT(D$65/12,COUNTIF(D$449:D573,0),D$66,Primary_Loan_Amount),0)))</f>
        <v>0</v>
      </c>
      <c r="I573" s="15">
        <f>-$G$52-SUM(H$449:H573)</f>
        <v>-23217621.943162207</v>
      </c>
      <c r="J573" s="24">
        <f t="shared" si="83"/>
        <v>0</v>
      </c>
      <c r="K573" s="51">
        <f>IF(L573=1,0,IF(SUM(K$449:K572)&gt;=Construction_Timeline,0,1))</f>
        <v>0</v>
      </c>
      <c r="L573" s="13">
        <f t="shared" si="85"/>
        <v>0</v>
      </c>
      <c r="M573" s="54">
        <f t="shared" si="80"/>
        <v>49796</v>
      </c>
      <c r="N573" s="7"/>
      <c r="O573" s="12"/>
      <c r="P573" s="98"/>
      <c r="Q573" s="98"/>
      <c r="R573" s="98"/>
      <c r="S573" s="98"/>
      <c r="T573" s="3"/>
      <c r="U573" s="98"/>
      <c r="V573" s="98"/>
      <c r="W573" s="98"/>
      <c r="X573" s="98"/>
    </row>
    <row r="574" spans="2:24">
      <c r="B574" s="7"/>
      <c r="C574" s="7">
        <v>125</v>
      </c>
      <c r="D574" s="24">
        <f t="shared" si="84"/>
        <v>0</v>
      </c>
      <c r="E574" s="103">
        <f t="shared" si="81"/>
        <v>0</v>
      </c>
      <c r="F574" s="53"/>
      <c r="G574" s="24">
        <f t="shared" si="82"/>
        <v>0</v>
      </c>
      <c r="H574" s="15">
        <f>IF(G574&gt;0,0,IF(AND(H573=0,SUM(K574:L574)=0),0,IF(D574=0,PPMT(D$65/12,COUNTIF(D$449:D574,0),D$66,Primary_Loan_Amount),0)))</f>
        <v>0</v>
      </c>
      <c r="I574" s="15">
        <f>-$G$52-SUM(H$449:H574)</f>
        <v>-23217621.943162207</v>
      </c>
      <c r="J574" s="24">
        <f t="shared" si="83"/>
        <v>0</v>
      </c>
      <c r="K574" s="51">
        <f>IF(L574=1,0,IF(SUM(K$449:K573)&gt;=Construction_Timeline,0,1))</f>
        <v>0</v>
      </c>
      <c r="L574" s="13">
        <f t="shared" si="85"/>
        <v>0</v>
      </c>
      <c r="M574" s="54">
        <f t="shared" si="80"/>
        <v>49827</v>
      </c>
      <c r="N574" s="7"/>
      <c r="O574" s="12"/>
      <c r="P574" s="98"/>
      <c r="Q574" s="98"/>
      <c r="R574" s="98"/>
      <c r="S574" s="98"/>
      <c r="T574" s="3"/>
      <c r="U574" s="98"/>
      <c r="V574" s="98"/>
      <c r="W574" s="98"/>
      <c r="X574" s="98"/>
    </row>
    <row r="575" spans="2:24">
      <c r="B575" s="7"/>
      <c r="C575" s="7">
        <v>126</v>
      </c>
      <c r="D575" s="24">
        <f t="shared" si="84"/>
        <v>0</v>
      </c>
      <c r="E575" s="103">
        <f t="shared" si="81"/>
        <v>0</v>
      </c>
      <c r="F575" s="53"/>
      <c r="G575" s="24">
        <f t="shared" si="82"/>
        <v>0</v>
      </c>
      <c r="H575" s="15">
        <f>IF(G575&gt;0,0,IF(AND(H574=0,SUM(K575:L575)=0),0,IF(D575=0,PPMT(D$65/12,COUNTIF(D$449:D575,0),D$66,Primary_Loan_Amount),0)))</f>
        <v>0</v>
      </c>
      <c r="I575" s="15">
        <f>-$G$52-SUM(H$449:H575)</f>
        <v>-23217621.943162207</v>
      </c>
      <c r="J575" s="24">
        <f t="shared" si="83"/>
        <v>0</v>
      </c>
      <c r="K575" s="51">
        <f>IF(L575=1,0,IF(SUM(K$449:K574)&gt;=Construction_Timeline,0,1))</f>
        <v>0</v>
      </c>
      <c r="L575" s="13">
        <f t="shared" si="85"/>
        <v>0</v>
      </c>
      <c r="M575" s="54">
        <f t="shared" si="80"/>
        <v>49857</v>
      </c>
      <c r="N575" s="7"/>
      <c r="O575" s="12"/>
      <c r="P575" s="98"/>
      <c r="Q575" s="98"/>
      <c r="R575" s="98"/>
      <c r="S575" s="98"/>
      <c r="T575" s="3"/>
      <c r="U575" s="98"/>
      <c r="V575" s="98"/>
      <c r="W575" s="98"/>
      <c r="X575" s="98"/>
    </row>
    <row r="576" spans="2:24">
      <c r="B576" s="7"/>
      <c r="C576" s="7">
        <v>127</v>
      </c>
      <c r="D576" s="24">
        <f t="shared" si="84"/>
        <v>0</v>
      </c>
      <c r="E576" s="103">
        <f t="shared" si="81"/>
        <v>0</v>
      </c>
      <c r="F576" s="53"/>
      <c r="G576" s="24">
        <f t="shared" si="82"/>
        <v>0</v>
      </c>
      <c r="H576" s="15">
        <f>IF(G576&gt;0,0,IF(AND(H575=0,SUM(K576:L576)=0),0,IF(D576=0,PPMT(D$65/12,COUNTIF(D$449:D576,0),D$66,Primary_Loan_Amount),0)))</f>
        <v>0</v>
      </c>
      <c r="I576" s="15">
        <f>-$G$52-SUM(H$449:H576)</f>
        <v>-23217621.943162207</v>
      </c>
      <c r="J576" s="24">
        <f t="shared" si="83"/>
        <v>0</v>
      </c>
      <c r="K576" s="51">
        <f>IF(L576=1,0,IF(SUM(K$449:K575)&gt;=Construction_Timeline,0,1))</f>
        <v>0</v>
      </c>
      <c r="L576" s="13">
        <f t="shared" si="85"/>
        <v>0</v>
      </c>
      <c r="M576" s="54">
        <f t="shared" si="80"/>
        <v>49888</v>
      </c>
      <c r="N576" s="7"/>
      <c r="O576" s="12"/>
      <c r="P576" s="98"/>
      <c r="Q576" s="98"/>
      <c r="R576" s="98"/>
      <c r="S576" s="98"/>
      <c r="T576" s="3"/>
      <c r="U576" s="98"/>
      <c r="V576" s="98"/>
      <c r="W576" s="98"/>
      <c r="X576" s="98"/>
    </row>
    <row r="577" spans="2:24">
      <c r="B577" s="7"/>
      <c r="C577" s="7">
        <v>128</v>
      </c>
      <c r="D577" s="24">
        <f t="shared" si="84"/>
        <v>0</v>
      </c>
      <c r="E577" s="103">
        <f t="shared" si="81"/>
        <v>0</v>
      </c>
      <c r="F577" s="53"/>
      <c r="G577" s="24">
        <f t="shared" ref="G577:G608" si="86">IF(C577=SUM(Month_of_Sale,PreDev_Timeline,Construction_Timeline),Incentive_Sales_Price*(1-D$64),0)</f>
        <v>0</v>
      </c>
      <c r="H577" s="15">
        <f>IF(G577&gt;0,0,IF(AND(H576=0,SUM(K577:L577)=0),0,IF(D577=0,PPMT(D$65/12,COUNTIF(D$449:D577,0),D$66,Primary_Loan_Amount),0)))</f>
        <v>0</v>
      </c>
      <c r="I577" s="15">
        <f>-$G$52-SUM(H$449:H577)</f>
        <v>-23217621.943162207</v>
      </c>
      <c r="J577" s="24">
        <f t="shared" ref="J577:J608" si="87">SUM(D577,F577,G577)+IF(G577&gt;0,I577)</f>
        <v>0</v>
      </c>
      <c r="K577" s="51">
        <f>IF(L577=1,0,IF(SUM(K$449:K576)&gt;=Construction_Timeline,0,1))</f>
        <v>0</v>
      </c>
      <c r="L577" s="13">
        <f t="shared" si="85"/>
        <v>0</v>
      </c>
      <c r="M577" s="54">
        <f t="shared" si="80"/>
        <v>49919</v>
      </c>
      <c r="N577" s="7"/>
      <c r="O577" s="12"/>
      <c r="P577" s="98"/>
      <c r="Q577" s="98"/>
      <c r="R577" s="98"/>
      <c r="S577" s="98"/>
      <c r="T577" s="3"/>
      <c r="U577" s="98"/>
      <c r="V577" s="98"/>
      <c r="W577" s="98"/>
      <c r="X577" s="98"/>
    </row>
    <row r="578" spans="2:24">
      <c r="B578" s="7"/>
      <c r="C578" s="7">
        <v>129</v>
      </c>
      <c r="D578" s="24">
        <f t="shared" ref="D578:D609" si="88">IF(AND(C577&gt;0,E577&gt;=D577),E577,IF(L578=1,-Incentive_Pre_Development_Costs/PreDev_Timeline,IF(K578=1,MAX(E577,-G$52/Construction_Timeline),0)))</f>
        <v>0</v>
      </c>
      <c r="E578" s="103">
        <f t="shared" si="81"/>
        <v>0</v>
      </c>
      <c r="F578" s="53"/>
      <c r="G578" s="24">
        <f t="shared" si="86"/>
        <v>0</v>
      </c>
      <c r="H578" s="15">
        <f>IF(G578&gt;0,0,IF(AND(H577=0,SUM(K578:L578)=0),0,IF(D578=0,PPMT(D$65/12,COUNTIF(D$449:D578,0),D$66,Primary_Loan_Amount),0)))</f>
        <v>0</v>
      </c>
      <c r="I578" s="15">
        <f>-$G$52-SUM(H$449:H578)</f>
        <v>-23217621.943162207</v>
      </c>
      <c r="J578" s="24">
        <f t="shared" si="87"/>
        <v>0</v>
      </c>
      <c r="K578" s="51">
        <f>IF(L578=1,0,IF(SUM(K$449:K577)&gt;=Construction_Timeline,0,1))</f>
        <v>0</v>
      </c>
      <c r="L578" s="13">
        <f t="shared" ref="L578:L609" si="89">IF(C578&lt;=PreDev_Timeline,1,0)</f>
        <v>0</v>
      </c>
      <c r="M578" s="54">
        <f t="shared" si="80"/>
        <v>49949</v>
      </c>
      <c r="N578" s="7"/>
      <c r="O578" s="12"/>
      <c r="P578" s="98"/>
      <c r="Q578" s="98"/>
      <c r="R578" s="98"/>
      <c r="S578" s="98"/>
      <c r="T578" s="3"/>
      <c r="U578" s="98"/>
      <c r="V578" s="98"/>
      <c r="W578" s="98"/>
      <c r="X578" s="98"/>
    </row>
    <row r="579" spans="2:24">
      <c r="B579" s="7"/>
      <c r="C579" s="7">
        <v>130</v>
      </c>
      <c r="D579" s="24">
        <f t="shared" si="88"/>
        <v>0</v>
      </c>
      <c r="E579" s="103">
        <f t="shared" si="81"/>
        <v>0</v>
      </c>
      <c r="F579" s="53"/>
      <c r="G579" s="24">
        <f t="shared" si="86"/>
        <v>0</v>
      </c>
      <c r="H579" s="15">
        <f>IF(G579&gt;0,0,IF(AND(H578=0,SUM(K579:L579)=0),0,IF(D579=0,PPMT(D$65/12,COUNTIF(D$449:D579,0),D$66,Primary_Loan_Amount),0)))</f>
        <v>0</v>
      </c>
      <c r="I579" s="15">
        <f>-$G$52-SUM(H$449:H579)</f>
        <v>-23217621.943162207</v>
      </c>
      <c r="J579" s="24">
        <f t="shared" si="87"/>
        <v>0</v>
      </c>
      <c r="K579" s="51">
        <f>IF(L579=1,0,IF(SUM(K$449:K578)&gt;=Construction_Timeline,0,1))</f>
        <v>0</v>
      </c>
      <c r="L579" s="13">
        <f t="shared" si="89"/>
        <v>0</v>
      </c>
      <c r="M579" s="54">
        <f t="shared" ref="M579:M629" si="90">EDATE(M578,1)</f>
        <v>49980</v>
      </c>
      <c r="N579" s="7"/>
      <c r="O579" s="12"/>
      <c r="P579" s="98"/>
      <c r="Q579" s="98"/>
      <c r="R579" s="98"/>
      <c r="S579" s="98"/>
      <c r="T579" s="3"/>
      <c r="U579" s="98"/>
      <c r="V579" s="98"/>
      <c r="W579" s="98"/>
      <c r="X579" s="98"/>
    </row>
    <row r="580" spans="2:24">
      <c r="B580" s="7"/>
      <c r="C580" s="7">
        <v>131</v>
      </c>
      <c r="D580" s="24">
        <f t="shared" si="88"/>
        <v>0</v>
      </c>
      <c r="E580" s="103">
        <f t="shared" si="81"/>
        <v>0</v>
      </c>
      <c r="F580" s="53"/>
      <c r="G580" s="24">
        <f t="shared" si="86"/>
        <v>0</v>
      </c>
      <c r="H580" s="15">
        <f>IF(G580&gt;0,0,IF(AND(H579=0,SUM(K580:L580)=0),0,IF(D580=0,PPMT(D$65/12,COUNTIF(D$449:D580,0),D$66,Primary_Loan_Amount),0)))</f>
        <v>0</v>
      </c>
      <c r="I580" s="15">
        <f>-$G$52-SUM(H$449:H580)</f>
        <v>-23217621.943162207</v>
      </c>
      <c r="J580" s="24">
        <f t="shared" si="87"/>
        <v>0</v>
      </c>
      <c r="K580" s="51">
        <f>IF(L580=1,0,IF(SUM(K$449:K579)&gt;=Construction_Timeline,0,1))</f>
        <v>0</v>
      </c>
      <c r="L580" s="13">
        <f t="shared" si="89"/>
        <v>0</v>
      </c>
      <c r="M580" s="54">
        <f t="shared" si="90"/>
        <v>50010</v>
      </c>
      <c r="N580" s="7"/>
      <c r="O580" s="12"/>
      <c r="P580" s="98"/>
      <c r="Q580" s="98"/>
      <c r="R580" s="98"/>
      <c r="S580" s="98"/>
      <c r="T580" s="3"/>
      <c r="U580" s="98"/>
      <c r="V580" s="98"/>
      <c r="W580" s="98"/>
      <c r="X580" s="98"/>
    </row>
    <row r="581" spans="2:24">
      <c r="B581" s="7"/>
      <c r="C581" s="7">
        <v>132</v>
      </c>
      <c r="D581" s="24">
        <f t="shared" si="88"/>
        <v>0</v>
      </c>
      <c r="E581" s="103">
        <f t="shared" si="81"/>
        <v>0</v>
      </c>
      <c r="F581" s="53"/>
      <c r="G581" s="24">
        <f t="shared" si="86"/>
        <v>0</v>
      </c>
      <c r="H581" s="15">
        <f>IF(G581&gt;0,0,IF(AND(H580=0,SUM(K581:L581)=0),0,IF(D581=0,PPMT(D$65/12,COUNTIF(D$449:D581,0),D$66,Primary_Loan_Amount),0)))</f>
        <v>0</v>
      </c>
      <c r="I581" s="15">
        <f>-$G$52-SUM(H$449:H581)</f>
        <v>-23217621.943162207</v>
      </c>
      <c r="J581" s="24">
        <f t="shared" si="87"/>
        <v>0</v>
      </c>
      <c r="K581" s="51">
        <f>IF(L581=1,0,IF(SUM(K$449:K580)&gt;=Construction_Timeline,0,1))</f>
        <v>0</v>
      </c>
      <c r="L581" s="13">
        <f t="shared" si="89"/>
        <v>0</v>
      </c>
      <c r="M581" s="54">
        <f t="shared" si="90"/>
        <v>50041</v>
      </c>
      <c r="N581" s="7"/>
      <c r="O581" s="12"/>
      <c r="P581" s="98"/>
      <c r="Q581" s="98"/>
      <c r="R581" s="98"/>
      <c r="S581" s="98"/>
      <c r="T581" s="3"/>
      <c r="U581" s="98"/>
      <c r="V581" s="98"/>
      <c r="W581" s="98"/>
      <c r="X581" s="98"/>
    </row>
    <row r="582" spans="2:24">
      <c r="B582" s="7"/>
      <c r="C582" s="7">
        <v>133</v>
      </c>
      <c r="D582" s="24">
        <f t="shared" si="88"/>
        <v>0</v>
      </c>
      <c r="E582" s="103">
        <f t="shared" si="81"/>
        <v>0</v>
      </c>
      <c r="F582" s="53"/>
      <c r="G582" s="24">
        <f t="shared" si="86"/>
        <v>0</v>
      </c>
      <c r="H582" s="15">
        <f>IF(G582&gt;0,0,IF(AND(H581=0,SUM(K582:L582)=0),0,IF(D582=0,PPMT(D$65/12,COUNTIF(D$449:D582,0),D$66,Primary_Loan_Amount),0)))</f>
        <v>0</v>
      </c>
      <c r="I582" s="15">
        <f>-$G$52-SUM(H$449:H582)</f>
        <v>-23217621.943162207</v>
      </c>
      <c r="J582" s="24">
        <f t="shared" si="87"/>
        <v>0</v>
      </c>
      <c r="K582" s="51">
        <f>IF(L582=1,0,IF(SUM(K$449:K581)&gt;=Construction_Timeline,0,1))</f>
        <v>0</v>
      </c>
      <c r="L582" s="13">
        <f t="shared" si="89"/>
        <v>0</v>
      </c>
      <c r="M582" s="54">
        <f t="shared" si="90"/>
        <v>50072</v>
      </c>
      <c r="N582" s="7"/>
      <c r="O582" s="12"/>
      <c r="P582" s="98"/>
      <c r="Q582" s="98"/>
      <c r="R582" s="98"/>
      <c r="S582" s="98"/>
      <c r="T582" s="3"/>
      <c r="U582" s="98"/>
      <c r="V582" s="98"/>
      <c r="W582" s="98"/>
      <c r="X582" s="98"/>
    </row>
    <row r="583" spans="2:24">
      <c r="B583" s="7"/>
      <c r="C583" s="7">
        <v>134</v>
      </c>
      <c r="D583" s="24">
        <f t="shared" si="88"/>
        <v>0</v>
      </c>
      <c r="E583" s="103">
        <f t="shared" si="81"/>
        <v>0</v>
      </c>
      <c r="F583" s="53"/>
      <c r="G583" s="24">
        <f t="shared" si="86"/>
        <v>0</v>
      </c>
      <c r="H583" s="15">
        <f>IF(G583&gt;0,0,IF(AND(H582=0,SUM(K583:L583)=0),0,IF(D583=0,PPMT(D$65/12,COUNTIF(D$449:D583,0),D$66,Primary_Loan_Amount),0)))</f>
        <v>0</v>
      </c>
      <c r="I583" s="15">
        <f>-$G$52-SUM(H$449:H583)</f>
        <v>-23217621.943162207</v>
      </c>
      <c r="J583" s="24">
        <f t="shared" si="87"/>
        <v>0</v>
      </c>
      <c r="K583" s="51">
        <f>IF(L583=1,0,IF(SUM(K$449:K582)&gt;=Construction_Timeline,0,1))</f>
        <v>0</v>
      </c>
      <c r="L583" s="13">
        <f t="shared" si="89"/>
        <v>0</v>
      </c>
      <c r="M583" s="54">
        <f t="shared" si="90"/>
        <v>50100</v>
      </c>
      <c r="N583" s="7"/>
      <c r="O583" s="12"/>
      <c r="P583" s="98"/>
      <c r="Q583" s="98"/>
      <c r="R583" s="98"/>
      <c r="S583" s="98"/>
      <c r="T583" s="3"/>
      <c r="U583" s="98"/>
      <c r="V583" s="98"/>
      <c r="W583" s="98"/>
      <c r="X583" s="98"/>
    </row>
    <row r="584" spans="2:24">
      <c r="B584" s="7"/>
      <c r="C584" s="7">
        <v>135</v>
      </c>
      <c r="D584" s="24">
        <f t="shared" si="88"/>
        <v>0</v>
      </c>
      <c r="E584" s="103">
        <f t="shared" si="81"/>
        <v>0</v>
      </c>
      <c r="F584" s="53"/>
      <c r="G584" s="24">
        <f t="shared" si="86"/>
        <v>0</v>
      </c>
      <c r="H584" s="15">
        <f>IF(G584&gt;0,0,IF(AND(H583=0,SUM(K584:L584)=0),0,IF(D584=0,PPMT(D$65/12,COUNTIF(D$449:D584,0),D$66,Primary_Loan_Amount),0)))</f>
        <v>0</v>
      </c>
      <c r="I584" s="15">
        <f>-$G$52-SUM(H$449:H584)</f>
        <v>-23217621.943162207</v>
      </c>
      <c r="J584" s="24">
        <f t="shared" si="87"/>
        <v>0</v>
      </c>
      <c r="K584" s="51">
        <f>IF(L584=1,0,IF(SUM(K$449:K583)&gt;=Construction_Timeline,0,1))</f>
        <v>0</v>
      </c>
      <c r="L584" s="13">
        <f t="shared" si="89"/>
        <v>0</v>
      </c>
      <c r="M584" s="54">
        <f t="shared" si="90"/>
        <v>50131</v>
      </c>
      <c r="N584" s="7"/>
      <c r="O584" s="12"/>
      <c r="P584" s="98"/>
      <c r="Q584" s="98"/>
      <c r="R584" s="98"/>
      <c r="S584" s="98"/>
      <c r="T584" s="3"/>
      <c r="U584" s="98"/>
      <c r="V584" s="98"/>
      <c r="W584" s="98"/>
      <c r="X584" s="98"/>
    </row>
    <row r="585" spans="2:24">
      <c r="B585" s="7"/>
      <c r="C585" s="7">
        <v>136</v>
      </c>
      <c r="D585" s="24">
        <f t="shared" si="88"/>
        <v>0</v>
      </c>
      <c r="E585" s="103">
        <f t="shared" si="81"/>
        <v>0</v>
      </c>
      <c r="F585" s="53"/>
      <c r="G585" s="24">
        <f t="shared" si="86"/>
        <v>0</v>
      </c>
      <c r="H585" s="15">
        <f>IF(G585&gt;0,0,IF(AND(H584=0,SUM(K585:L585)=0),0,IF(D585=0,PPMT(D$65/12,COUNTIF(D$449:D585,0),D$66,Primary_Loan_Amount),0)))</f>
        <v>0</v>
      </c>
      <c r="I585" s="15">
        <f>-$G$52-SUM(H$449:H585)</f>
        <v>-23217621.943162207</v>
      </c>
      <c r="J585" s="24">
        <f t="shared" si="87"/>
        <v>0</v>
      </c>
      <c r="K585" s="51">
        <f>IF(L585=1,0,IF(SUM(K$449:K584)&gt;=Construction_Timeline,0,1))</f>
        <v>0</v>
      </c>
      <c r="L585" s="13">
        <f t="shared" si="89"/>
        <v>0</v>
      </c>
      <c r="M585" s="54">
        <f t="shared" si="90"/>
        <v>50161</v>
      </c>
      <c r="N585" s="7"/>
      <c r="O585" s="12"/>
      <c r="P585" s="98"/>
      <c r="Q585" s="98"/>
      <c r="R585" s="98"/>
      <c r="S585" s="98"/>
      <c r="T585" s="3"/>
      <c r="U585" s="98"/>
      <c r="V585" s="98"/>
      <c r="W585" s="98"/>
      <c r="X585" s="98"/>
    </row>
    <row r="586" spans="2:24">
      <c r="B586" s="7"/>
      <c r="C586" s="7">
        <v>137</v>
      </c>
      <c r="D586" s="24">
        <f t="shared" si="88"/>
        <v>0</v>
      </c>
      <c r="E586" s="103">
        <f t="shared" si="81"/>
        <v>0</v>
      </c>
      <c r="F586" s="53"/>
      <c r="G586" s="24">
        <f t="shared" si="86"/>
        <v>0</v>
      </c>
      <c r="H586" s="15">
        <f>IF(G586&gt;0,0,IF(AND(H585=0,SUM(K586:L586)=0),0,IF(D586=0,PPMT(D$65/12,COUNTIF(D$449:D586,0),D$66,Primary_Loan_Amount),0)))</f>
        <v>0</v>
      </c>
      <c r="I586" s="15">
        <f>-$G$52-SUM(H$449:H586)</f>
        <v>-23217621.943162207</v>
      </c>
      <c r="J586" s="24">
        <f t="shared" si="87"/>
        <v>0</v>
      </c>
      <c r="K586" s="51">
        <f>IF(L586=1,0,IF(SUM(K$449:K585)&gt;=Construction_Timeline,0,1))</f>
        <v>0</v>
      </c>
      <c r="L586" s="13">
        <f t="shared" si="89"/>
        <v>0</v>
      </c>
      <c r="M586" s="54">
        <f t="shared" si="90"/>
        <v>50192</v>
      </c>
      <c r="N586" s="7"/>
      <c r="O586" s="12"/>
      <c r="P586" s="98"/>
      <c r="Q586" s="98"/>
      <c r="R586" s="98"/>
      <c r="S586" s="98"/>
      <c r="T586" s="3"/>
      <c r="U586" s="98"/>
      <c r="V586" s="98"/>
      <c r="W586" s="98"/>
      <c r="X586" s="98"/>
    </row>
    <row r="587" spans="2:24">
      <c r="B587" s="7"/>
      <c r="C587" s="7">
        <v>138</v>
      </c>
      <c r="D587" s="24">
        <f t="shared" si="88"/>
        <v>0</v>
      </c>
      <c r="E587" s="103">
        <f t="shared" si="81"/>
        <v>0</v>
      </c>
      <c r="F587" s="53"/>
      <c r="G587" s="24">
        <f t="shared" si="86"/>
        <v>0</v>
      </c>
      <c r="H587" s="15">
        <f>IF(G587&gt;0,0,IF(AND(H586=0,SUM(K587:L587)=0),0,IF(D587=0,PPMT(D$65/12,COUNTIF(D$449:D587,0),D$66,Primary_Loan_Amount),0)))</f>
        <v>0</v>
      </c>
      <c r="I587" s="15">
        <f>-$G$52-SUM(H$449:H587)</f>
        <v>-23217621.943162207</v>
      </c>
      <c r="J587" s="24">
        <f t="shared" si="87"/>
        <v>0</v>
      </c>
      <c r="K587" s="51">
        <f>IF(L587=1,0,IF(SUM(K$449:K586)&gt;=Construction_Timeline,0,1))</f>
        <v>0</v>
      </c>
      <c r="L587" s="13">
        <f t="shared" si="89"/>
        <v>0</v>
      </c>
      <c r="M587" s="54">
        <f t="shared" si="90"/>
        <v>50222</v>
      </c>
      <c r="N587" s="7"/>
      <c r="O587" s="12"/>
      <c r="P587" s="98"/>
      <c r="Q587" s="98"/>
      <c r="R587" s="98"/>
      <c r="S587" s="98"/>
      <c r="T587" s="3"/>
      <c r="U587" s="98"/>
      <c r="V587" s="98"/>
      <c r="W587" s="98"/>
      <c r="X587" s="98"/>
    </row>
    <row r="588" spans="2:24">
      <c r="B588" s="7"/>
      <c r="C588" s="7">
        <v>139</v>
      </c>
      <c r="D588" s="24">
        <f t="shared" si="88"/>
        <v>0</v>
      </c>
      <c r="E588" s="103">
        <f t="shared" si="81"/>
        <v>0</v>
      </c>
      <c r="F588" s="53"/>
      <c r="G588" s="24">
        <f t="shared" si="86"/>
        <v>0</v>
      </c>
      <c r="H588" s="15">
        <f>IF(G588&gt;0,0,IF(AND(H587=0,SUM(K588:L588)=0),0,IF(D588=0,PPMT(D$65/12,COUNTIF(D$449:D588,0),D$66,Primary_Loan_Amount),0)))</f>
        <v>0</v>
      </c>
      <c r="I588" s="15">
        <f>-$G$52-SUM(H$449:H588)</f>
        <v>-23217621.943162207</v>
      </c>
      <c r="J588" s="24">
        <f t="shared" si="87"/>
        <v>0</v>
      </c>
      <c r="K588" s="51">
        <f>IF(L588=1,0,IF(SUM(K$449:K587)&gt;=Construction_Timeline,0,1))</f>
        <v>0</v>
      </c>
      <c r="L588" s="13">
        <f t="shared" si="89"/>
        <v>0</v>
      </c>
      <c r="M588" s="54">
        <f t="shared" si="90"/>
        <v>50253</v>
      </c>
      <c r="N588" s="7"/>
      <c r="O588" s="12"/>
      <c r="P588" s="98"/>
      <c r="Q588" s="98"/>
      <c r="R588" s="98"/>
      <c r="S588" s="98"/>
      <c r="T588" s="3"/>
      <c r="U588" s="98"/>
      <c r="V588" s="98"/>
      <c r="W588" s="98"/>
      <c r="X588" s="98"/>
    </row>
    <row r="589" spans="2:24">
      <c r="B589" s="7"/>
      <c r="C589" s="7">
        <v>140</v>
      </c>
      <c r="D589" s="24">
        <f t="shared" si="88"/>
        <v>0</v>
      </c>
      <c r="E589" s="103">
        <f t="shared" si="81"/>
        <v>0</v>
      </c>
      <c r="F589" s="53"/>
      <c r="G589" s="24">
        <f t="shared" si="86"/>
        <v>0</v>
      </c>
      <c r="H589" s="15">
        <f>IF(G589&gt;0,0,IF(AND(H588=0,SUM(K589:L589)=0),0,IF(D589=0,PPMT(D$65/12,COUNTIF(D$449:D589,0),D$66,Primary_Loan_Amount),0)))</f>
        <v>0</v>
      </c>
      <c r="I589" s="15">
        <f>-$G$52-SUM(H$449:H589)</f>
        <v>-23217621.943162207</v>
      </c>
      <c r="J589" s="24">
        <f t="shared" si="87"/>
        <v>0</v>
      </c>
      <c r="K589" s="51">
        <f>IF(L589=1,0,IF(SUM(K$449:K588)&gt;=Construction_Timeline,0,1))</f>
        <v>0</v>
      </c>
      <c r="L589" s="13">
        <f t="shared" si="89"/>
        <v>0</v>
      </c>
      <c r="M589" s="54">
        <f t="shared" si="90"/>
        <v>50284</v>
      </c>
      <c r="N589" s="7"/>
      <c r="O589" s="12"/>
      <c r="P589" s="98"/>
      <c r="Q589" s="98"/>
      <c r="R589" s="98"/>
      <c r="S589" s="98"/>
      <c r="T589" s="3"/>
      <c r="U589" s="98"/>
      <c r="V589" s="98"/>
      <c r="W589" s="98"/>
      <c r="X589" s="98"/>
    </row>
    <row r="590" spans="2:24">
      <c r="B590" s="7"/>
      <c r="C590" s="7">
        <v>141</v>
      </c>
      <c r="D590" s="24">
        <f t="shared" si="88"/>
        <v>0</v>
      </c>
      <c r="E590" s="103">
        <f t="shared" si="81"/>
        <v>0</v>
      </c>
      <c r="F590" s="53"/>
      <c r="G590" s="24">
        <f t="shared" si="86"/>
        <v>0</v>
      </c>
      <c r="H590" s="15">
        <f>IF(G590&gt;0,0,IF(AND(H589=0,SUM(K590:L590)=0),0,IF(D590=0,PPMT(D$65/12,COUNTIF(D$449:D590,0),D$66,Primary_Loan_Amount),0)))</f>
        <v>0</v>
      </c>
      <c r="I590" s="15">
        <f>-$G$52-SUM(H$449:H590)</f>
        <v>-23217621.943162207</v>
      </c>
      <c r="J590" s="24">
        <f t="shared" si="87"/>
        <v>0</v>
      </c>
      <c r="K590" s="51">
        <f>IF(L590=1,0,IF(SUM(K$449:K589)&gt;=Construction_Timeline,0,1))</f>
        <v>0</v>
      </c>
      <c r="L590" s="13">
        <f t="shared" si="89"/>
        <v>0</v>
      </c>
      <c r="M590" s="54">
        <f t="shared" si="90"/>
        <v>50314</v>
      </c>
      <c r="N590" s="7"/>
      <c r="O590" s="12"/>
      <c r="P590" s="98"/>
      <c r="Q590" s="98"/>
      <c r="R590" s="98"/>
      <c r="S590" s="98"/>
      <c r="T590" s="3"/>
      <c r="U590" s="98"/>
      <c r="V590" s="98"/>
      <c r="W590" s="98"/>
      <c r="X590" s="98"/>
    </row>
    <row r="591" spans="2:24">
      <c r="B591" s="7"/>
      <c r="C591" s="7">
        <v>142</v>
      </c>
      <c r="D591" s="24">
        <f t="shared" si="88"/>
        <v>0</v>
      </c>
      <c r="E591" s="103">
        <f t="shared" si="81"/>
        <v>0</v>
      </c>
      <c r="F591" s="53"/>
      <c r="G591" s="24">
        <f t="shared" si="86"/>
        <v>0</v>
      </c>
      <c r="H591" s="15">
        <f>IF(G591&gt;0,0,IF(AND(H590=0,SUM(K591:L591)=0),0,IF(D591=0,PPMT(D$65/12,COUNTIF(D$449:D591,0),D$66,Primary_Loan_Amount),0)))</f>
        <v>0</v>
      </c>
      <c r="I591" s="15">
        <f>-$G$52-SUM(H$449:H591)</f>
        <v>-23217621.943162207</v>
      </c>
      <c r="J591" s="24">
        <f t="shared" si="87"/>
        <v>0</v>
      </c>
      <c r="K591" s="51">
        <f>IF(L591=1,0,IF(SUM(K$449:K590)&gt;=Construction_Timeline,0,1))</f>
        <v>0</v>
      </c>
      <c r="L591" s="13">
        <f t="shared" si="89"/>
        <v>0</v>
      </c>
      <c r="M591" s="54">
        <f t="shared" si="90"/>
        <v>50345</v>
      </c>
      <c r="N591" s="7"/>
      <c r="O591" s="12"/>
      <c r="P591" s="98"/>
      <c r="Q591" s="98"/>
      <c r="R591" s="98"/>
      <c r="S591" s="98"/>
      <c r="T591" s="3"/>
      <c r="U591" s="98"/>
      <c r="V591" s="98"/>
      <c r="W591" s="98"/>
      <c r="X591" s="98"/>
    </row>
    <row r="592" spans="2:24">
      <c r="B592" s="7"/>
      <c r="C592" s="7">
        <v>143</v>
      </c>
      <c r="D592" s="24">
        <f t="shared" si="88"/>
        <v>0</v>
      </c>
      <c r="E592" s="103">
        <f t="shared" si="81"/>
        <v>0</v>
      </c>
      <c r="F592" s="53"/>
      <c r="G592" s="24">
        <f t="shared" si="86"/>
        <v>0</v>
      </c>
      <c r="H592" s="15">
        <f>IF(G592&gt;0,0,IF(AND(H591=0,SUM(K592:L592)=0),0,IF(D592=0,PPMT(D$65/12,COUNTIF(D$449:D592,0),D$66,Primary_Loan_Amount),0)))</f>
        <v>0</v>
      </c>
      <c r="I592" s="15">
        <f>-$G$52-SUM(H$449:H592)</f>
        <v>-23217621.943162207</v>
      </c>
      <c r="J592" s="24">
        <f t="shared" si="87"/>
        <v>0</v>
      </c>
      <c r="K592" s="51">
        <f>IF(L592=1,0,IF(SUM(K$449:K591)&gt;=Construction_Timeline,0,1))</f>
        <v>0</v>
      </c>
      <c r="L592" s="13">
        <f t="shared" si="89"/>
        <v>0</v>
      </c>
      <c r="M592" s="54">
        <f t="shared" si="90"/>
        <v>50375</v>
      </c>
      <c r="N592" s="7"/>
      <c r="O592" s="12"/>
      <c r="P592" s="98"/>
      <c r="Q592" s="98"/>
      <c r="R592" s="98"/>
      <c r="S592" s="98"/>
      <c r="T592" s="3"/>
      <c r="U592" s="98"/>
      <c r="V592" s="98"/>
      <c r="W592" s="98"/>
      <c r="X592" s="98"/>
    </row>
    <row r="593" spans="2:24">
      <c r="B593" s="7"/>
      <c r="C593" s="7">
        <v>144</v>
      </c>
      <c r="D593" s="24">
        <f t="shared" si="88"/>
        <v>0</v>
      </c>
      <c r="E593" s="103">
        <f t="shared" si="81"/>
        <v>0</v>
      </c>
      <c r="F593" s="53"/>
      <c r="G593" s="24">
        <f t="shared" si="86"/>
        <v>0</v>
      </c>
      <c r="H593" s="15">
        <f>IF(G593&gt;0,0,IF(AND(H592=0,SUM(K593:L593)=0),0,IF(D593=0,PPMT(D$65/12,COUNTIF(D$449:D593,0),D$66,Primary_Loan_Amount),0)))</f>
        <v>0</v>
      </c>
      <c r="I593" s="15">
        <f>-$G$52-SUM(H$449:H593)</f>
        <v>-23217621.943162207</v>
      </c>
      <c r="J593" s="24">
        <f t="shared" si="87"/>
        <v>0</v>
      </c>
      <c r="K593" s="51">
        <f>IF(L593=1,0,IF(SUM(K$449:K592)&gt;=Construction_Timeline,0,1))</f>
        <v>0</v>
      </c>
      <c r="L593" s="13">
        <f t="shared" si="89"/>
        <v>0</v>
      </c>
      <c r="M593" s="54">
        <f t="shared" si="90"/>
        <v>50406</v>
      </c>
      <c r="N593" s="7"/>
      <c r="O593" s="12"/>
      <c r="P593" s="98"/>
      <c r="Q593" s="98"/>
      <c r="R593" s="98"/>
      <c r="S593" s="98"/>
      <c r="T593" s="3"/>
      <c r="U593" s="98"/>
      <c r="V593" s="98"/>
      <c r="W593" s="98"/>
      <c r="X593" s="98"/>
    </row>
    <row r="594" spans="2:24">
      <c r="B594" s="7"/>
      <c r="C594" s="7">
        <v>145</v>
      </c>
      <c r="D594" s="24">
        <f t="shared" si="88"/>
        <v>0</v>
      </c>
      <c r="E594" s="103">
        <f t="shared" si="81"/>
        <v>0</v>
      </c>
      <c r="F594" s="53"/>
      <c r="G594" s="24">
        <f t="shared" si="86"/>
        <v>0</v>
      </c>
      <c r="H594" s="15">
        <f>IF(G594&gt;0,0,IF(AND(H593=0,SUM(K594:L594)=0),0,IF(D594=0,PPMT(D$65/12,COUNTIF(D$449:D594,0),D$66,Primary_Loan_Amount),0)))</f>
        <v>0</v>
      </c>
      <c r="I594" s="15">
        <f>-$G$52-SUM(H$449:H594)</f>
        <v>-23217621.943162207</v>
      </c>
      <c r="J594" s="24">
        <f t="shared" si="87"/>
        <v>0</v>
      </c>
      <c r="K594" s="51">
        <f>IF(L594=1,0,IF(SUM(K$449:K593)&gt;=Construction_Timeline,0,1))</f>
        <v>0</v>
      </c>
      <c r="L594" s="13">
        <f t="shared" si="89"/>
        <v>0</v>
      </c>
      <c r="M594" s="54">
        <f t="shared" si="90"/>
        <v>50437</v>
      </c>
      <c r="N594" s="7"/>
      <c r="O594" s="12"/>
      <c r="P594" s="98"/>
      <c r="Q594" s="98"/>
      <c r="R594" s="98"/>
      <c r="S594" s="98"/>
      <c r="T594" s="3"/>
      <c r="U594" s="98"/>
      <c r="V594" s="98"/>
      <c r="W594" s="98"/>
      <c r="X594" s="98"/>
    </row>
    <row r="595" spans="2:24">
      <c r="B595" s="7"/>
      <c r="C595" s="7">
        <v>146</v>
      </c>
      <c r="D595" s="24">
        <f t="shared" si="88"/>
        <v>0</v>
      </c>
      <c r="E595" s="103">
        <f t="shared" si="81"/>
        <v>0</v>
      </c>
      <c r="F595" s="53"/>
      <c r="G595" s="24">
        <f t="shared" si="86"/>
        <v>0</v>
      </c>
      <c r="H595" s="15">
        <f>IF(G595&gt;0,0,IF(AND(H594=0,SUM(K595:L595)=0),0,IF(D595=0,PPMT(D$65/12,COUNTIF(D$449:D595,0),D$66,Primary_Loan_Amount),0)))</f>
        <v>0</v>
      </c>
      <c r="I595" s="15">
        <f>-$G$52-SUM(H$449:H595)</f>
        <v>-23217621.943162207</v>
      </c>
      <c r="J595" s="24">
        <f t="shared" si="87"/>
        <v>0</v>
      </c>
      <c r="K595" s="51">
        <f>IF(L595=1,0,IF(SUM(K$449:K594)&gt;=Construction_Timeline,0,1))</f>
        <v>0</v>
      </c>
      <c r="L595" s="13">
        <f t="shared" si="89"/>
        <v>0</v>
      </c>
      <c r="M595" s="54">
        <f t="shared" si="90"/>
        <v>50465</v>
      </c>
      <c r="N595" s="7"/>
      <c r="O595" s="12"/>
      <c r="P595" s="98"/>
      <c r="Q595" s="98"/>
      <c r="R595" s="98"/>
      <c r="S595" s="98"/>
      <c r="T595" s="3"/>
      <c r="U595" s="98"/>
      <c r="V595" s="98"/>
      <c r="W595" s="98"/>
      <c r="X595" s="98"/>
    </row>
    <row r="596" spans="2:24">
      <c r="B596" s="7"/>
      <c r="C596" s="7">
        <v>147</v>
      </c>
      <c r="D596" s="24">
        <f t="shared" si="88"/>
        <v>0</v>
      </c>
      <c r="E596" s="103">
        <f t="shared" si="81"/>
        <v>0</v>
      </c>
      <c r="F596" s="53"/>
      <c r="G596" s="24">
        <f t="shared" si="86"/>
        <v>0</v>
      </c>
      <c r="H596" s="15">
        <f>IF(G596&gt;0,0,IF(AND(H595=0,SUM(K596:L596)=0),0,IF(D596=0,PPMT(D$65/12,COUNTIF(D$449:D596,0),D$66,Primary_Loan_Amount),0)))</f>
        <v>0</v>
      </c>
      <c r="I596" s="15">
        <f>-$G$52-SUM(H$449:H596)</f>
        <v>-23217621.943162207</v>
      </c>
      <c r="J596" s="24">
        <f t="shared" si="87"/>
        <v>0</v>
      </c>
      <c r="K596" s="51">
        <f>IF(L596=1,0,IF(SUM(K$449:K595)&gt;=Construction_Timeline,0,1))</f>
        <v>0</v>
      </c>
      <c r="L596" s="13">
        <f t="shared" si="89"/>
        <v>0</v>
      </c>
      <c r="M596" s="54">
        <f t="shared" si="90"/>
        <v>50496</v>
      </c>
      <c r="N596" s="7"/>
      <c r="O596" s="12"/>
      <c r="P596" s="98"/>
      <c r="Q596" s="98"/>
      <c r="R596" s="98"/>
      <c r="S596" s="98"/>
      <c r="T596" s="3"/>
      <c r="U596" s="98"/>
      <c r="V596" s="98"/>
      <c r="W596" s="98"/>
      <c r="X596" s="98"/>
    </row>
    <row r="597" spans="2:24">
      <c r="B597" s="7"/>
      <c r="C597" s="7">
        <v>148</v>
      </c>
      <c r="D597" s="24">
        <f t="shared" si="88"/>
        <v>0</v>
      </c>
      <c r="E597" s="103">
        <f t="shared" si="81"/>
        <v>0</v>
      </c>
      <c r="F597" s="53"/>
      <c r="G597" s="24">
        <f t="shared" si="86"/>
        <v>0</v>
      </c>
      <c r="H597" s="15">
        <f>IF(G597&gt;0,0,IF(AND(H596=0,SUM(K597:L597)=0),0,IF(D597=0,PPMT(D$65/12,COUNTIF(D$449:D597,0),D$66,Primary_Loan_Amount),0)))</f>
        <v>0</v>
      </c>
      <c r="I597" s="15">
        <f>-$G$52-SUM(H$449:H597)</f>
        <v>-23217621.943162207</v>
      </c>
      <c r="J597" s="24">
        <f t="shared" si="87"/>
        <v>0</v>
      </c>
      <c r="K597" s="51">
        <f>IF(L597=1,0,IF(SUM(K$449:K596)&gt;=Construction_Timeline,0,1))</f>
        <v>0</v>
      </c>
      <c r="L597" s="13">
        <f t="shared" si="89"/>
        <v>0</v>
      </c>
      <c r="M597" s="54">
        <f t="shared" si="90"/>
        <v>50526</v>
      </c>
      <c r="N597" s="7"/>
      <c r="O597" s="12"/>
      <c r="P597" s="98"/>
      <c r="Q597" s="98"/>
      <c r="R597" s="98"/>
      <c r="S597" s="98"/>
      <c r="T597" s="3"/>
      <c r="U597" s="98"/>
      <c r="V597" s="98"/>
      <c r="W597" s="98"/>
      <c r="X597" s="98"/>
    </row>
    <row r="598" spans="2:24">
      <c r="B598" s="7"/>
      <c r="C598" s="7">
        <v>149</v>
      </c>
      <c r="D598" s="24">
        <f t="shared" si="88"/>
        <v>0</v>
      </c>
      <c r="E598" s="103">
        <f t="shared" si="81"/>
        <v>0</v>
      </c>
      <c r="F598" s="53"/>
      <c r="G598" s="24">
        <f t="shared" si="86"/>
        <v>0</v>
      </c>
      <c r="H598" s="15">
        <f>IF(G598&gt;0,0,IF(AND(H597=0,SUM(K598:L598)=0),0,IF(D598=0,PPMT(D$65/12,COUNTIF(D$449:D598,0),D$66,Primary_Loan_Amount),0)))</f>
        <v>0</v>
      </c>
      <c r="I598" s="15">
        <f>-$G$52-SUM(H$449:H598)</f>
        <v>-23217621.943162207</v>
      </c>
      <c r="J598" s="24">
        <f t="shared" si="87"/>
        <v>0</v>
      </c>
      <c r="K598" s="51">
        <f>IF(L598=1,0,IF(SUM(K$449:K597)&gt;=Construction_Timeline,0,1))</f>
        <v>0</v>
      </c>
      <c r="L598" s="13">
        <f t="shared" si="89"/>
        <v>0</v>
      </c>
      <c r="M598" s="54">
        <f t="shared" si="90"/>
        <v>50557</v>
      </c>
      <c r="N598" s="7"/>
      <c r="O598" s="12"/>
      <c r="P598" s="98"/>
      <c r="Q598" s="98"/>
      <c r="R598" s="98"/>
      <c r="S598" s="98"/>
      <c r="T598" s="3"/>
      <c r="U598" s="98"/>
      <c r="V598" s="98"/>
      <c r="W598" s="98"/>
      <c r="X598" s="98"/>
    </row>
    <row r="599" spans="2:24">
      <c r="B599" s="7"/>
      <c r="C599" s="7">
        <v>150</v>
      </c>
      <c r="D599" s="24">
        <f t="shared" si="88"/>
        <v>0</v>
      </c>
      <c r="E599" s="103">
        <f t="shared" ref="E599:E629" si="91">E598-D599</f>
        <v>0</v>
      </c>
      <c r="F599" s="53"/>
      <c r="G599" s="24">
        <f t="shared" si="86"/>
        <v>0</v>
      </c>
      <c r="H599" s="15">
        <f>IF(G599&gt;0,0,IF(AND(H598=0,SUM(K599:L599)=0),0,IF(D599=0,PPMT(D$65/12,COUNTIF(D$449:D599,0),D$66,Primary_Loan_Amount),0)))</f>
        <v>0</v>
      </c>
      <c r="I599" s="15">
        <f>-$G$52-SUM(H$449:H599)</f>
        <v>-23217621.943162207</v>
      </c>
      <c r="J599" s="24">
        <f t="shared" si="87"/>
        <v>0</v>
      </c>
      <c r="K599" s="51">
        <f>IF(L599=1,0,IF(SUM(K$449:K598)&gt;=Construction_Timeline,0,1))</f>
        <v>0</v>
      </c>
      <c r="L599" s="13">
        <f t="shared" si="89"/>
        <v>0</v>
      </c>
      <c r="M599" s="54">
        <f t="shared" si="90"/>
        <v>50587</v>
      </c>
      <c r="N599" s="7"/>
      <c r="O599" s="12"/>
      <c r="P599" s="98"/>
      <c r="Q599" s="98"/>
      <c r="R599" s="98"/>
      <c r="S599" s="98"/>
      <c r="T599" s="3"/>
      <c r="U599" s="98"/>
      <c r="V599" s="98"/>
      <c r="W599" s="98"/>
      <c r="X599" s="98"/>
    </row>
    <row r="600" spans="2:24">
      <c r="B600" s="7"/>
      <c r="C600" s="7">
        <v>151</v>
      </c>
      <c r="D600" s="24">
        <f t="shared" si="88"/>
        <v>0</v>
      </c>
      <c r="E600" s="103">
        <f t="shared" si="91"/>
        <v>0</v>
      </c>
      <c r="F600" s="53"/>
      <c r="G600" s="24">
        <f t="shared" si="86"/>
        <v>0</v>
      </c>
      <c r="H600" s="15">
        <f>IF(G600&gt;0,0,IF(AND(H599=0,SUM(K600:L600)=0),0,IF(D600=0,PPMT(D$65/12,COUNTIF(D$449:D600,0),D$66,Primary_Loan_Amount),0)))</f>
        <v>0</v>
      </c>
      <c r="I600" s="15">
        <f>-$G$52-SUM(H$449:H600)</f>
        <v>-23217621.943162207</v>
      </c>
      <c r="J600" s="24">
        <f t="shared" si="87"/>
        <v>0</v>
      </c>
      <c r="K600" s="51">
        <f>IF(L600=1,0,IF(SUM(K$449:K599)&gt;=Construction_Timeline,0,1))</f>
        <v>0</v>
      </c>
      <c r="L600" s="13">
        <f t="shared" si="89"/>
        <v>0</v>
      </c>
      <c r="M600" s="54">
        <f t="shared" si="90"/>
        <v>50618</v>
      </c>
      <c r="N600" s="7"/>
      <c r="O600" s="12"/>
      <c r="P600" s="98"/>
      <c r="Q600" s="98"/>
      <c r="R600" s="98"/>
      <c r="S600" s="98"/>
      <c r="T600" s="3"/>
      <c r="U600" s="98"/>
      <c r="V600" s="98"/>
      <c r="W600" s="98"/>
      <c r="X600" s="98"/>
    </row>
    <row r="601" spans="2:24">
      <c r="B601" s="7"/>
      <c r="C601" s="7">
        <v>152</v>
      </c>
      <c r="D601" s="24">
        <f t="shared" si="88"/>
        <v>0</v>
      </c>
      <c r="E601" s="103">
        <f t="shared" si="91"/>
        <v>0</v>
      </c>
      <c r="F601" s="53"/>
      <c r="G601" s="24">
        <f t="shared" si="86"/>
        <v>0</v>
      </c>
      <c r="H601" s="15">
        <f>IF(G601&gt;0,0,IF(AND(H600=0,SUM(K601:L601)=0),0,IF(D601=0,PPMT(D$65/12,COUNTIF(D$449:D601,0),D$66,Primary_Loan_Amount),0)))</f>
        <v>0</v>
      </c>
      <c r="I601" s="15">
        <f>-$G$52-SUM(H$449:H601)</f>
        <v>-23217621.943162207</v>
      </c>
      <c r="J601" s="24">
        <f t="shared" si="87"/>
        <v>0</v>
      </c>
      <c r="K601" s="51">
        <f>IF(L601=1,0,IF(SUM(K$449:K600)&gt;=Construction_Timeline,0,1))</f>
        <v>0</v>
      </c>
      <c r="L601" s="13">
        <f t="shared" si="89"/>
        <v>0</v>
      </c>
      <c r="M601" s="54">
        <f t="shared" si="90"/>
        <v>50649</v>
      </c>
      <c r="N601" s="7"/>
      <c r="O601" s="12"/>
      <c r="P601" s="98"/>
      <c r="Q601" s="98"/>
      <c r="R601" s="98"/>
      <c r="S601" s="98"/>
      <c r="T601" s="3"/>
      <c r="U601" s="98"/>
      <c r="V601" s="98"/>
      <c r="W601" s="98"/>
      <c r="X601" s="98"/>
    </row>
    <row r="602" spans="2:24">
      <c r="B602" s="7"/>
      <c r="C602" s="7">
        <v>153</v>
      </c>
      <c r="D602" s="24">
        <f t="shared" si="88"/>
        <v>0</v>
      </c>
      <c r="E602" s="103">
        <f t="shared" si="91"/>
        <v>0</v>
      </c>
      <c r="F602" s="53"/>
      <c r="G602" s="24">
        <f t="shared" si="86"/>
        <v>0</v>
      </c>
      <c r="H602" s="15">
        <f>IF(G602&gt;0,0,IF(AND(H601=0,SUM(K602:L602)=0),0,IF(D602=0,PPMT(D$65/12,COUNTIF(D$449:D602,0),D$66,Primary_Loan_Amount),0)))</f>
        <v>0</v>
      </c>
      <c r="I602" s="15">
        <f>-$G$52-SUM(H$449:H602)</f>
        <v>-23217621.943162207</v>
      </c>
      <c r="J602" s="24">
        <f t="shared" si="87"/>
        <v>0</v>
      </c>
      <c r="K602" s="51">
        <f>IF(L602=1,0,IF(SUM(K$449:K601)&gt;=Construction_Timeline,0,1))</f>
        <v>0</v>
      </c>
      <c r="L602" s="13">
        <f t="shared" si="89"/>
        <v>0</v>
      </c>
      <c r="M602" s="54">
        <f t="shared" si="90"/>
        <v>50679</v>
      </c>
      <c r="N602" s="7"/>
      <c r="O602" s="12"/>
      <c r="P602" s="98"/>
      <c r="Q602" s="98"/>
      <c r="R602" s="98"/>
      <c r="S602" s="98"/>
      <c r="T602" s="3"/>
      <c r="U602" s="98"/>
      <c r="V602" s="98"/>
      <c r="W602" s="98"/>
      <c r="X602" s="98"/>
    </row>
    <row r="603" spans="2:24">
      <c r="B603" s="7"/>
      <c r="C603" s="7">
        <v>154</v>
      </c>
      <c r="D603" s="24">
        <f t="shared" si="88"/>
        <v>0</v>
      </c>
      <c r="E603" s="103">
        <f t="shared" si="91"/>
        <v>0</v>
      </c>
      <c r="F603" s="53"/>
      <c r="G603" s="24">
        <f t="shared" si="86"/>
        <v>0</v>
      </c>
      <c r="H603" s="15">
        <f>IF(G603&gt;0,0,IF(AND(H602=0,SUM(K603:L603)=0),0,IF(D603=0,PPMT(D$65/12,COUNTIF(D$449:D603,0),D$66,Primary_Loan_Amount),0)))</f>
        <v>0</v>
      </c>
      <c r="I603" s="15">
        <f>-$G$52-SUM(H$449:H603)</f>
        <v>-23217621.943162207</v>
      </c>
      <c r="J603" s="24">
        <f t="shared" si="87"/>
        <v>0</v>
      </c>
      <c r="K603" s="51">
        <f>IF(L603=1,0,IF(SUM(K$449:K602)&gt;=Construction_Timeline,0,1))</f>
        <v>0</v>
      </c>
      <c r="L603" s="13">
        <f t="shared" si="89"/>
        <v>0</v>
      </c>
      <c r="M603" s="54">
        <f t="shared" si="90"/>
        <v>50710</v>
      </c>
      <c r="N603" s="7"/>
      <c r="O603" s="12"/>
      <c r="P603" s="98"/>
      <c r="Q603" s="98"/>
      <c r="R603" s="98"/>
      <c r="S603" s="98"/>
      <c r="T603" s="3"/>
      <c r="U603" s="98"/>
      <c r="V603" s="98"/>
      <c r="W603" s="98"/>
      <c r="X603" s="98"/>
    </row>
    <row r="604" spans="2:24">
      <c r="B604" s="7"/>
      <c r="C604" s="7">
        <v>155</v>
      </c>
      <c r="D604" s="24">
        <f t="shared" si="88"/>
        <v>0</v>
      </c>
      <c r="E604" s="103">
        <f t="shared" si="91"/>
        <v>0</v>
      </c>
      <c r="F604" s="53"/>
      <c r="G604" s="24">
        <f t="shared" si="86"/>
        <v>0</v>
      </c>
      <c r="H604" s="15">
        <f>IF(G604&gt;0,0,IF(AND(H603=0,SUM(K604:L604)=0),0,IF(D604=0,PPMT(D$65/12,COUNTIF(D$449:D604,0),D$66,Primary_Loan_Amount),0)))</f>
        <v>0</v>
      </c>
      <c r="I604" s="15">
        <f>-$G$52-SUM(H$449:H604)</f>
        <v>-23217621.943162207</v>
      </c>
      <c r="J604" s="24">
        <f t="shared" si="87"/>
        <v>0</v>
      </c>
      <c r="K604" s="51">
        <f>IF(L604=1,0,IF(SUM(K$449:K603)&gt;=Construction_Timeline,0,1))</f>
        <v>0</v>
      </c>
      <c r="L604" s="13">
        <f t="shared" si="89"/>
        <v>0</v>
      </c>
      <c r="M604" s="54">
        <f t="shared" si="90"/>
        <v>50740</v>
      </c>
      <c r="N604" s="7"/>
      <c r="O604" s="12"/>
      <c r="P604" s="98"/>
      <c r="Q604" s="98"/>
      <c r="R604" s="98"/>
      <c r="S604" s="98"/>
      <c r="T604" s="3"/>
      <c r="U604" s="98"/>
      <c r="V604" s="98"/>
      <c r="W604" s="98"/>
      <c r="X604" s="98"/>
    </row>
    <row r="605" spans="2:24">
      <c r="B605" s="7"/>
      <c r="C605" s="7">
        <v>156</v>
      </c>
      <c r="D605" s="24">
        <f t="shared" si="88"/>
        <v>0</v>
      </c>
      <c r="E605" s="103">
        <f t="shared" si="91"/>
        <v>0</v>
      </c>
      <c r="F605" s="53"/>
      <c r="G605" s="24">
        <f t="shared" si="86"/>
        <v>0</v>
      </c>
      <c r="H605" s="15">
        <f>IF(G605&gt;0,0,IF(AND(H604=0,SUM(K605:L605)=0),0,IF(D605=0,PPMT(D$65/12,COUNTIF(D$449:D605,0),D$66,Primary_Loan_Amount),0)))</f>
        <v>0</v>
      </c>
      <c r="I605" s="15">
        <f>-$G$52-SUM(H$449:H605)</f>
        <v>-23217621.943162207</v>
      </c>
      <c r="J605" s="24">
        <f t="shared" si="87"/>
        <v>0</v>
      </c>
      <c r="K605" s="51">
        <f>IF(L605=1,0,IF(SUM(K$449:K604)&gt;=Construction_Timeline,0,1))</f>
        <v>0</v>
      </c>
      <c r="L605" s="13">
        <f t="shared" si="89"/>
        <v>0</v>
      </c>
      <c r="M605" s="54">
        <f t="shared" si="90"/>
        <v>50771</v>
      </c>
      <c r="N605" s="7"/>
      <c r="O605" s="12"/>
      <c r="P605" s="98"/>
      <c r="Q605" s="98"/>
      <c r="R605" s="98"/>
      <c r="S605" s="98"/>
      <c r="T605" s="3"/>
      <c r="U605" s="98"/>
      <c r="V605" s="98"/>
      <c r="W605" s="98"/>
      <c r="X605" s="98"/>
    </row>
    <row r="606" spans="2:24">
      <c r="B606" s="7"/>
      <c r="C606" s="7">
        <v>157</v>
      </c>
      <c r="D606" s="24">
        <f t="shared" si="88"/>
        <v>0</v>
      </c>
      <c r="E606" s="103">
        <f t="shared" si="91"/>
        <v>0</v>
      </c>
      <c r="F606" s="53"/>
      <c r="G606" s="24">
        <f t="shared" si="86"/>
        <v>0</v>
      </c>
      <c r="H606" s="15">
        <f>IF(G606&gt;0,0,IF(AND(H605=0,SUM(K606:L606)=0),0,IF(D606=0,PPMT(D$65/12,COUNTIF(D$449:D606,0),D$66,Primary_Loan_Amount),0)))</f>
        <v>0</v>
      </c>
      <c r="I606" s="15">
        <f>-$G$52-SUM(H$449:H606)</f>
        <v>-23217621.943162207</v>
      </c>
      <c r="J606" s="24">
        <f t="shared" si="87"/>
        <v>0</v>
      </c>
      <c r="K606" s="51">
        <f>IF(L606=1,0,IF(SUM(K$449:K605)&gt;=Construction_Timeline,0,1))</f>
        <v>0</v>
      </c>
      <c r="L606" s="13">
        <f t="shared" si="89"/>
        <v>0</v>
      </c>
      <c r="M606" s="54">
        <f t="shared" si="90"/>
        <v>50802</v>
      </c>
      <c r="N606" s="7"/>
      <c r="O606" s="12"/>
      <c r="P606" s="98"/>
      <c r="Q606" s="98"/>
      <c r="R606" s="98"/>
      <c r="S606" s="98"/>
      <c r="T606" s="3"/>
      <c r="U606" s="98"/>
      <c r="V606" s="98"/>
      <c r="W606" s="98"/>
      <c r="X606" s="98"/>
    </row>
    <row r="607" spans="2:24">
      <c r="B607" s="7"/>
      <c r="C607" s="7">
        <v>158</v>
      </c>
      <c r="D607" s="24">
        <f t="shared" si="88"/>
        <v>0</v>
      </c>
      <c r="E607" s="103">
        <f t="shared" si="91"/>
        <v>0</v>
      </c>
      <c r="F607" s="53"/>
      <c r="G607" s="24">
        <f t="shared" si="86"/>
        <v>0</v>
      </c>
      <c r="H607" s="15">
        <f>IF(G607&gt;0,0,IF(AND(H606=0,SUM(K607:L607)=0),0,IF(D607=0,PPMT(D$65/12,COUNTIF(D$449:D607,0),D$66,Primary_Loan_Amount),0)))</f>
        <v>0</v>
      </c>
      <c r="I607" s="15">
        <f>-$G$52-SUM(H$449:H607)</f>
        <v>-23217621.943162207</v>
      </c>
      <c r="J607" s="24">
        <f t="shared" si="87"/>
        <v>0</v>
      </c>
      <c r="K607" s="51">
        <f>IF(L607=1,0,IF(SUM(K$449:K606)&gt;=Construction_Timeline,0,1))</f>
        <v>0</v>
      </c>
      <c r="L607" s="13">
        <f t="shared" si="89"/>
        <v>0</v>
      </c>
      <c r="M607" s="54">
        <f t="shared" si="90"/>
        <v>50830</v>
      </c>
      <c r="N607" s="7"/>
      <c r="O607" s="12"/>
      <c r="P607" s="98"/>
      <c r="Q607" s="98"/>
      <c r="R607" s="98"/>
      <c r="S607" s="98"/>
      <c r="T607" s="3"/>
      <c r="U607" s="98"/>
      <c r="V607" s="98"/>
      <c r="W607" s="98"/>
      <c r="X607" s="98"/>
    </row>
    <row r="608" spans="2:24">
      <c r="B608" s="7"/>
      <c r="C608" s="7">
        <v>159</v>
      </c>
      <c r="D608" s="24">
        <f t="shared" si="88"/>
        <v>0</v>
      </c>
      <c r="E608" s="103">
        <f t="shared" si="91"/>
        <v>0</v>
      </c>
      <c r="F608" s="53"/>
      <c r="G608" s="24">
        <f t="shared" si="86"/>
        <v>0</v>
      </c>
      <c r="H608" s="15">
        <f>IF(G608&gt;0,0,IF(AND(H607=0,SUM(K608:L608)=0),0,IF(D608=0,PPMT(D$65/12,COUNTIF(D$449:D608,0),D$66,Primary_Loan_Amount),0)))</f>
        <v>0</v>
      </c>
      <c r="I608" s="15">
        <f>-$G$52-SUM(H$449:H608)</f>
        <v>-23217621.943162207</v>
      </c>
      <c r="J608" s="24">
        <f t="shared" si="87"/>
        <v>0</v>
      </c>
      <c r="K608" s="51">
        <f>IF(L608=1,0,IF(SUM(K$449:K607)&gt;=Construction_Timeline,0,1))</f>
        <v>0</v>
      </c>
      <c r="L608" s="13">
        <f t="shared" si="89"/>
        <v>0</v>
      </c>
      <c r="M608" s="54">
        <f t="shared" si="90"/>
        <v>50861</v>
      </c>
      <c r="N608" s="7"/>
      <c r="O608" s="12"/>
      <c r="P608" s="98"/>
      <c r="Q608" s="98"/>
      <c r="R608" s="98"/>
      <c r="S608" s="98"/>
      <c r="T608" s="3"/>
      <c r="U608" s="98"/>
      <c r="V608" s="98"/>
      <c r="W608" s="98"/>
      <c r="X608" s="98"/>
    </row>
    <row r="609" spans="2:24">
      <c r="B609" s="7"/>
      <c r="C609" s="7">
        <v>160</v>
      </c>
      <c r="D609" s="24">
        <f t="shared" si="88"/>
        <v>0</v>
      </c>
      <c r="E609" s="103">
        <f t="shared" si="91"/>
        <v>0</v>
      </c>
      <c r="F609" s="53"/>
      <c r="G609" s="24">
        <f t="shared" ref="G609:G629" si="92">IF(C609=SUM(Month_of_Sale,PreDev_Timeline,Construction_Timeline),Incentive_Sales_Price*(1-D$64),0)</f>
        <v>0</v>
      </c>
      <c r="H609" s="15">
        <f>IF(G609&gt;0,0,IF(AND(H608=0,SUM(K609:L609)=0),0,IF(D609=0,PPMT(D$65/12,COUNTIF(D$449:D609,0),D$66,Primary_Loan_Amount),0)))</f>
        <v>0</v>
      </c>
      <c r="I609" s="15">
        <f>-$G$52-SUM(H$449:H609)</f>
        <v>-23217621.943162207</v>
      </c>
      <c r="J609" s="24">
        <f t="shared" ref="J609:J629" si="93">SUM(D609,F609,G609)+IF(G609&gt;0,I609)</f>
        <v>0</v>
      </c>
      <c r="K609" s="51">
        <f>IF(L609=1,0,IF(SUM(K$449:K608)&gt;=Construction_Timeline,0,1))</f>
        <v>0</v>
      </c>
      <c r="L609" s="13">
        <f t="shared" si="89"/>
        <v>0</v>
      </c>
      <c r="M609" s="54">
        <f t="shared" si="90"/>
        <v>50891</v>
      </c>
      <c r="N609" s="7"/>
      <c r="O609" s="12"/>
      <c r="P609" s="98"/>
      <c r="Q609" s="98"/>
      <c r="R609" s="98"/>
      <c r="S609" s="98"/>
      <c r="T609" s="3"/>
      <c r="U609" s="98"/>
      <c r="V609" s="98"/>
      <c r="W609" s="98"/>
      <c r="X609" s="98"/>
    </row>
    <row r="610" spans="2:24">
      <c r="B610" s="7"/>
      <c r="C610" s="7">
        <v>161</v>
      </c>
      <c r="D610" s="24">
        <f t="shared" ref="D610:D629" si="94">IF(AND(C609&gt;0,E609&gt;=D609),E609,IF(L610=1,-Incentive_Pre_Development_Costs/PreDev_Timeline,IF(K610=1,MAX(E609,-G$52/Construction_Timeline),0)))</f>
        <v>0</v>
      </c>
      <c r="E610" s="103">
        <f t="shared" si="91"/>
        <v>0</v>
      </c>
      <c r="F610" s="53"/>
      <c r="G610" s="24">
        <f t="shared" si="92"/>
        <v>0</v>
      </c>
      <c r="H610" s="15">
        <f>IF(G610&gt;0,0,IF(AND(H609=0,SUM(K610:L610)=0),0,IF(D610=0,PPMT(D$65/12,COUNTIF(D$449:D610,0),D$66,Primary_Loan_Amount),0)))</f>
        <v>0</v>
      </c>
      <c r="I610" s="15">
        <f>-$G$52-SUM(H$449:H610)</f>
        <v>-23217621.943162207</v>
      </c>
      <c r="J610" s="24">
        <f t="shared" si="93"/>
        <v>0</v>
      </c>
      <c r="K610" s="51">
        <f>IF(L610=1,0,IF(SUM(K$449:K609)&gt;=Construction_Timeline,0,1))</f>
        <v>0</v>
      </c>
      <c r="L610" s="13">
        <f t="shared" ref="L610:L629" si="95">IF(C610&lt;=PreDev_Timeline,1,0)</f>
        <v>0</v>
      </c>
      <c r="M610" s="54">
        <f t="shared" si="90"/>
        <v>50922</v>
      </c>
      <c r="N610" s="7"/>
      <c r="O610" s="12"/>
      <c r="P610" s="98"/>
      <c r="Q610" s="98"/>
      <c r="R610" s="98"/>
      <c r="S610" s="98"/>
      <c r="T610" s="3"/>
      <c r="U610" s="98"/>
      <c r="V610" s="98"/>
      <c r="W610" s="98"/>
      <c r="X610" s="98"/>
    </row>
    <row r="611" spans="2:24">
      <c r="B611" s="7"/>
      <c r="C611" s="7">
        <v>162</v>
      </c>
      <c r="D611" s="24">
        <f t="shared" si="94"/>
        <v>0</v>
      </c>
      <c r="E611" s="103">
        <f t="shared" si="91"/>
        <v>0</v>
      </c>
      <c r="F611" s="53"/>
      <c r="G611" s="24">
        <f t="shared" si="92"/>
        <v>0</v>
      </c>
      <c r="H611" s="15">
        <f>IF(G611&gt;0,0,IF(AND(H610=0,SUM(K611:L611)=0),0,IF(D611=0,PPMT(D$65/12,COUNTIF(D$449:D611,0),D$66,Primary_Loan_Amount),0)))</f>
        <v>0</v>
      </c>
      <c r="I611" s="15">
        <f>-$G$52-SUM(H$449:H611)</f>
        <v>-23217621.943162207</v>
      </c>
      <c r="J611" s="24">
        <f t="shared" si="93"/>
        <v>0</v>
      </c>
      <c r="K611" s="51">
        <f>IF(L611=1,0,IF(SUM(K$449:K610)&gt;=Construction_Timeline,0,1))</f>
        <v>0</v>
      </c>
      <c r="L611" s="13">
        <f t="shared" si="95"/>
        <v>0</v>
      </c>
      <c r="M611" s="54">
        <f t="shared" si="90"/>
        <v>50952</v>
      </c>
      <c r="N611" s="7"/>
      <c r="O611" s="12"/>
      <c r="P611" s="98"/>
      <c r="Q611" s="98"/>
      <c r="R611" s="98"/>
      <c r="S611" s="98"/>
      <c r="T611" s="3"/>
      <c r="U611" s="98"/>
      <c r="V611" s="98"/>
      <c r="W611" s="98"/>
      <c r="X611" s="98"/>
    </row>
    <row r="612" spans="2:24">
      <c r="B612" s="7"/>
      <c r="C612" s="7">
        <v>163</v>
      </c>
      <c r="D612" s="24">
        <f t="shared" si="94"/>
        <v>0</v>
      </c>
      <c r="E612" s="103">
        <f t="shared" si="91"/>
        <v>0</v>
      </c>
      <c r="F612" s="53"/>
      <c r="G612" s="24">
        <f t="shared" si="92"/>
        <v>0</v>
      </c>
      <c r="H612" s="15">
        <f>IF(G612&gt;0,0,IF(AND(H611=0,SUM(K612:L612)=0),0,IF(D612=0,PPMT(D$65/12,COUNTIF(D$449:D612,0),D$66,Primary_Loan_Amount),0)))</f>
        <v>0</v>
      </c>
      <c r="I612" s="15">
        <f>-$G$52-SUM(H$449:H612)</f>
        <v>-23217621.943162207</v>
      </c>
      <c r="J612" s="24">
        <f t="shared" si="93"/>
        <v>0</v>
      </c>
      <c r="K612" s="51">
        <f>IF(L612=1,0,IF(SUM(K$449:K611)&gt;=Construction_Timeline,0,1))</f>
        <v>0</v>
      </c>
      <c r="L612" s="13">
        <f t="shared" si="95"/>
        <v>0</v>
      </c>
      <c r="M612" s="54">
        <f t="shared" si="90"/>
        <v>50983</v>
      </c>
      <c r="N612" s="7"/>
      <c r="O612" s="12"/>
      <c r="P612" s="98"/>
      <c r="Q612" s="98"/>
      <c r="R612" s="98"/>
      <c r="S612" s="98"/>
      <c r="T612" s="3"/>
      <c r="U612" s="98"/>
      <c r="V612" s="98"/>
      <c r="W612" s="98"/>
      <c r="X612" s="98"/>
    </row>
    <row r="613" spans="2:24">
      <c r="B613" s="7"/>
      <c r="C613" s="7">
        <v>164</v>
      </c>
      <c r="D613" s="24">
        <f t="shared" si="94"/>
        <v>0</v>
      </c>
      <c r="E613" s="103">
        <f t="shared" si="91"/>
        <v>0</v>
      </c>
      <c r="F613" s="53"/>
      <c r="G613" s="24">
        <f t="shared" si="92"/>
        <v>0</v>
      </c>
      <c r="H613" s="15">
        <f>IF(G613&gt;0,0,IF(AND(H612=0,SUM(K613:L613)=0),0,IF(D613=0,PPMT(D$65/12,COUNTIF(D$449:D613,0),D$66,Primary_Loan_Amount),0)))</f>
        <v>0</v>
      </c>
      <c r="I613" s="15">
        <f>-$G$52-SUM(H$449:H613)</f>
        <v>-23217621.943162207</v>
      </c>
      <c r="J613" s="24">
        <f t="shared" si="93"/>
        <v>0</v>
      </c>
      <c r="K613" s="51">
        <f>IF(L613=1,0,IF(SUM(K$449:K612)&gt;=Construction_Timeline,0,1))</f>
        <v>0</v>
      </c>
      <c r="L613" s="13">
        <f t="shared" si="95"/>
        <v>0</v>
      </c>
      <c r="M613" s="54">
        <f t="shared" si="90"/>
        <v>51014</v>
      </c>
      <c r="N613" s="7"/>
      <c r="O613" s="12"/>
      <c r="P613" s="98"/>
      <c r="Q613" s="98"/>
      <c r="R613" s="98"/>
      <c r="S613" s="98"/>
      <c r="T613" s="3"/>
      <c r="U613" s="98"/>
      <c r="V613" s="98"/>
      <c r="W613" s="98"/>
      <c r="X613" s="98"/>
    </row>
    <row r="614" spans="2:24">
      <c r="B614" s="7"/>
      <c r="C614" s="7">
        <v>165</v>
      </c>
      <c r="D614" s="24">
        <f t="shared" si="94"/>
        <v>0</v>
      </c>
      <c r="E614" s="103">
        <f t="shared" si="91"/>
        <v>0</v>
      </c>
      <c r="F614" s="53"/>
      <c r="G614" s="24">
        <f t="shared" si="92"/>
        <v>0</v>
      </c>
      <c r="H614" s="15">
        <f>IF(G614&gt;0,0,IF(AND(H613=0,SUM(K614:L614)=0),0,IF(D614=0,PPMT(D$65/12,COUNTIF(D$449:D614,0),D$66,Primary_Loan_Amount),0)))</f>
        <v>0</v>
      </c>
      <c r="I614" s="15">
        <f>-$G$52-SUM(H$449:H614)</f>
        <v>-23217621.943162207</v>
      </c>
      <c r="J614" s="24">
        <f t="shared" si="93"/>
        <v>0</v>
      </c>
      <c r="K614" s="51">
        <f>IF(L614=1,0,IF(SUM(K$449:K613)&gt;=Construction_Timeline,0,1))</f>
        <v>0</v>
      </c>
      <c r="L614" s="13">
        <f t="shared" si="95"/>
        <v>0</v>
      </c>
      <c r="M614" s="54">
        <f t="shared" si="90"/>
        <v>51044</v>
      </c>
      <c r="N614" s="7"/>
      <c r="O614" s="12"/>
      <c r="P614" s="98"/>
      <c r="Q614" s="98"/>
      <c r="R614" s="98"/>
      <c r="S614" s="98"/>
      <c r="T614" s="3"/>
      <c r="U614" s="98"/>
      <c r="V614" s="98"/>
      <c r="W614" s="98"/>
      <c r="X614" s="98"/>
    </row>
    <row r="615" spans="2:24">
      <c r="B615" s="7"/>
      <c r="C615" s="7">
        <v>166</v>
      </c>
      <c r="D615" s="24">
        <f t="shared" si="94"/>
        <v>0</v>
      </c>
      <c r="E615" s="103">
        <f t="shared" si="91"/>
        <v>0</v>
      </c>
      <c r="F615" s="53"/>
      <c r="G615" s="24">
        <f t="shared" si="92"/>
        <v>0</v>
      </c>
      <c r="H615" s="15">
        <f>IF(G615&gt;0,0,IF(AND(H614=0,SUM(K615:L615)=0),0,IF(D615=0,PPMT(D$65/12,COUNTIF(D$449:D615,0),D$66,Primary_Loan_Amount),0)))</f>
        <v>0</v>
      </c>
      <c r="I615" s="15">
        <f>-$G$52-SUM(H$449:H615)</f>
        <v>-23217621.943162207</v>
      </c>
      <c r="J615" s="24">
        <f t="shared" si="93"/>
        <v>0</v>
      </c>
      <c r="K615" s="51">
        <f>IF(L615=1,0,IF(SUM(K$449:K614)&gt;=Construction_Timeline,0,1))</f>
        <v>0</v>
      </c>
      <c r="L615" s="13">
        <f t="shared" si="95"/>
        <v>0</v>
      </c>
      <c r="M615" s="54">
        <f t="shared" si="90"/>
        <v>51075</v>
      </c>
      <c r="N615" s="7"/>
      <c r="O615" s="12"/>
      <c r="P615" s="98"/>
      <c r="Q615" s="98"/>
      <c r="R615" s="98"/>
      <c r="S615" s="98"/>
      <c r="T615" s="3"/>
      <c r="U615" s="98"/>
      <c r="V615" s="98"/>
      <c r="W615" s="98"/>
      <c r="X615" s="98"/>
    </row>
    <row r="616" spans="2:24">
      <c r="B616" s="7"/>
      <c r="C616" s="7">
        <v>167</v>
      </c>
      <c r="D616" s="24">
        <f t="shared" si="94"/>
        <v>0</v>
      </c>
      <c r="E616" s="103">
        <f t="shared" si="91"/>
        <v>0</v>
      </c>
      <c r="F616" s="53"/>
      <c r="G616" s="24">
        <f t="shared" si="92"/>
        <v>0</v>
      </c>
      <c r="H616" s="15">
        <f>IF(G616&gt;0,0,IF(AND(H615=0,SUM(K616:L616)=0),0,IF(D616=0,PPMT(D$65/12,COUNTIF(D$449:D616,0),D$66,Primary_Loan_Amount),0)))</f>
        <v>0</v>
      </c>
      <c r="I616" s="15">
        <f>-$G$52-SUM(H$449:H616)</f>
        <v>-23217621.943162207</v>
      </c>
      <c r="J616" s="24">
        <f t="shared" si="93"/>
        <v>0</v>
      </c>
      <c r="K616" s="51">
        <f>IF(L616=1,0,IF(SUM(K$449:K615)&gt;=Construction_Timeline,0,1))</f>
        <v>0</v>
      </c>
      <c r="L616" s="13">
        <f t="shared" si="95"/>
        <v>0</v>
      </c>
      <c r="M616" s="54">
        <f t="shared" si="90"/>
        <v>51105</v>
      </c>
      <c r="N616" s="7"/>
      <c r="O616" s="12"/>
      <c r="P616" s="98"/>
      <c r="Q616" s="98"/>
      <c r="R616" s="98"/>
      <c r="S616" s="98"/>
      <c r="T616" s="3"/>
      <c r="U616" s="98"/>
      <c r="V616" s="98"/>
      <c r="W616" s="98"/>
      <c r="X616" s="98"/>
    </row>
    <row r="617" spans="2:24">
      <c r="B617" s="7"/>
      <c r="C617" s="7">
        <v>168</v>
      </c>
      <c r="D617" s="24">
        <f t="shared" si="94"/>
        <v>0</v>
      </c>
      <c r="E617" s="103">
        <f t="shared" si="91"/>
        <v>0</v>
      </c>
      <c r="F617" s="53"/>
      <c r="G617" s="24">
        <f t="shared" si="92"/>
        <v>0</v>
      </c>
      <c r="H617" s="15">
        <f>IF(G617&gt;0,0,IF(AND(H616=0,SUM(K617:L617)=0),0,IF(D617=0,PPMT(D$65/12,COUNTIF(D$449:D617,0),D$66,Primary_Loan_Amount),0)))</f>
        <v>0</v>
      </c>
      <c r="I617" s="15">
        <f>-$G$52-SUM(H$449:H617)</f>
        <v>-23217621.943162207</v>
      </c>
      <c r="J617" s="24">
        <f t="shared" si="93"/>
        <v>0</v>
      </c>
      <c r="K617" s="51">
        <f>IF(L617=1,0,IF(SUM(K$449:K616)&gt;=Construction_Timeline,0,1))</f>
        <v>0</v>
      </c>
      <c r="L617" s="13">
        <f t="shared" si="95"/>
        <v>0</v>
      </c>
      <c r="M617" s="54">
        <f t="shared" si="90"/>
        <v>51136</v>
      </c>
      <c r="N617" s="7"/>
      <c r="O617" s="12"/>
      <c r="P617" s="98"/>
      <c r="Q617" s="98"/>
      <c r="R617" s="98"/>
      <c r="S617" s="98"/>
      <c r="T617" s="3"/>
      <c r="U617" s="98"/>
      <c r="V617" s="98"/>
      <c r="W617" s="98"/>
      <c r="X617" s="98"/>
    </row>
    <row r="618" spans="2:24">
      <c r="B618" s="7"/>
      <c r="C618" s="7">
        <v>169</v>
      </c>
      <c r="D618" s="24">
        <f t="shared" si="94"/>
        <v>0</v>
      </c>
      <c r="E618" s="103">
        <f t="shared" si="91"/>
        <v>0</v>
      </c>
      <c r="F618" s="53"/>
      <c r="G618" s="24">
        <f t="shared" si="92"/>
        <v>0</v>
      </c>
      <c r="H618" s="15">
        <f>IF(G618&gt;0,0,IF(AND(H617=0,SUM(K618:L618)=0),0,IF(D618=0,PPMT(D$65/12,COUNTIF(D$449:D618,0),D$66,Primary_Loan_Amount),0)))</f>
        <v>0</v>
      </c>
      <c r="I618" s="15">
        <f>-$G$52-SUM(H$449:H618)</f>
        <v>-23217621.943162207</v>
      </c>
      <c r="J618" s="24">
        <f t="shared" si="93"/>
        <v>0</v>
      </c>
      <c r="K618" s="51">
        <f>IF(L618=1,0,IF(SUM(K$449:K617)&gt;=Construction_Timeline,0,1))</f>
        <v>0</v>
      </c>
      <c r="L618" s="13">
        <f t="shared" si="95"/>
        <v>0</v>
      </c>
      <c r="M618" s="54">
        <f t="shared" si="90"/>
        <v>51167</v>
      </c>
      <c r="N618" s="7"/>
      <c r="O618" s="12"/>
      <c r="P618" s="98"/>
      <c r="Q618" s="98"/>
      <c r="R618" s="98"/>
      <c r="S618" s="98"/>
      <c r="T618" s="3"/>
      <c r="U618" s="98"/>
      <c r="V618" s="98"/>
      <c r="W618" s="98"/>
      <c r="X618" s="98"/>
    </row>
    <row r="619" spans="2:24">
      <c r="B619" s="7"/>
      <c r="C619" s="7">
        <v>170</v>
      </c>
      <c r="D619" s="24">
        <f t="shared" si="94"/>
        <v>0</v>
      </c>
      <c r="E619" s="103">
        <f t="shared" si="91"/>
        <v>0</v>
      </c>
      <c r="F619" s="53"/>
      <c r="G619" s="24">
        <f t="shared" si="92"/>
        <v>0</v>
      </c>
      <c r="H619" s="15">
        <f>IF(G619&gt;0,0,IF(AND(H618=0,SUM(K619:L619)=0),0,IF(D619=0,PPMT(D$65/12,COUNTIF(D$449:D619,0),D$66,Primary_Loan_Amount),0)))</f>
        <v>0</v>
      </c>
      <c r="I619" s="15">
        <f>-$G$52-SUM(H$449:H619)</f>
        <v>-23217621.943162207</v>
      </c>
      <c r="J619" s="24">
        <f t="shared" si="93"/>
        <v>0</v>
      </c>
      <c r="K619" s="51">
        <f>IF(L619=1,0,IF(SUM(K$449:K618)&gt;=Construction_Timeline,0,1))</f>
        <v>0</v>
      </c>
      <c r="L619" s="13">
        <f t="shared" si="95"/>
        <v>0</v>
      </c>
      <c r="M619" s="54">
        <f t="shared" si="90"/>
        <v>51196</v>
      </c>
      <c r="N619" s="7"/>
      <c r="O619" s="12"/>
      <c r="P619" s="98"/>
      <c r="Q619" s="98"/>
      <c r="R619" s="98"/>
      <c r="S619" s="98"/>
      <c r="T619" s="3"/>
      <c r="U619" s="98"/>
      <c r="V619" s="98"/>
      <c r="W619" s="98"/>
      <c r="X619" s="98"/>
    </row>
    <row r="620" spans="2:24">
      <c r="B620" s="7"/>
      <c r="C620" s="7">
        <v>171</v>
      </c>
      <c r="D620" s="24">
        <f t="shared" si="94"/>
        <v>0</v>
      </c>
      <c r="E620" s="103">
        <f t="shared" si="91"/>
        <v>0</v>
      </c>
      <c r="F620" s="53"/>
      <c r="G620" s="24">
        <f t="shared" si="92"/>
        <v>0</v>
      </c>
      <c r="H620" s="15">
        <f>IF(G620&gt;0,0,IF(AND(H619=0,SUM(K620:L620)=0),0,IF(D620=0,PPMT(D$65/12,COUNTIF(D$449:D620,0),D$66,Primary_Loan_Amount),0)))</f>
        <v>0</v>
      </c>
      <c r="I620" s="15">
        <f>-$G$52-SUM(H$449:H620)</f>
        <v>-23217621.943162207</v>
      </c>
      <c r="J620" s="24">
        <f t="shared" si="93"/>
        <v>0</v>
      </c>
      <c r="K620" s="51">
        <f>IF(L620=1,0,IF(SUM(K$449:K619)&gt;=Construction_Timeline,0,1))</f>
        <v>0</v>
      </c>
      <c r="L620" s="13">
        <f t="shared" si="95"/>
        <v>0</v>
      </c>
      <c r="M620" s="54">
        <f t="shared" si="90"/>
        <v>51227</v>
      </c>
      <c r="N620" s="7"/>
      <c r="O620" s="12"/>
      <c r="P620" s="98"/>
      <c r="Q620" s="98"/>
      <c r="R620" s="98"/>
      <c r="S620" s="98"/>
      <c r="T620" s="3"/>
      <c r="U620" s="98"/>
      <c r="V620" s="98"/>
      <c r="W620" s="98"/>
      <c r="X620" s="98"/>
    </row>
    <row r="621" spans="2:24">
      <c r="B621" s="7"/>
      <c r="C621" s="7">
        <v>172</v>
      </c>
      <c r="D621" s="24">
        <f t="shared" si="94"/>
        <v>0</v>
      </c>
      <c r="E621" s="103">
        <f t="shared" si="91"/>
        <v>0</v>
      </c>
      <c r="F621" s="53"/>
      <c r="G621" s="24">
        <f t="shared" si="92"/>
        <v>0</v>
      </c>
      <c r="H621" s="15">
        <f>IF(G621&gt;0,0,IF(AND(H620=0,SUM(K621:L621)=0),0,IF(D621=0,PPMT(D$65/12,COUNTIF(D$449:D621,0),D$66,Primary_Loan_Amount),0)))</f>
        <v>0</v>
      </c>
      <c r="I621" s="15">
        <f>-$G$52-SUM(H$449:H621)</f>
        <v>-23217621.943162207</v>
      </c>
      <c r="J621" s="24">
        <f t="shared" si="93"/>
        <v>0</v>
      </c>
      <c r="K621" s="51">
        <f>IF(L621=1,0,IF(SUM(K$449:K620)&gt;=Construction_Timeline,0,1))</f>
        <v>0</v>
      </c>
      <c r="L621" s="13">
        <f t="shared" si="95"/>
        <v>0</v>
      </c>
      <c r="M621" s="54">
        <f t="shared" si="90"/>
        <v>51257</v>
      </c>
      <c r="N621" s="7"/>
      <c r="O621" s="12"/>
      <c r="P621" s="98"/>
      <c r="Q621" s="98"/>
      <c r="R621" s="98"/>
      <c r="S621" s="98"/>
      <c r="T621" s="3"/>
      <c r="U621" s="98"/>
      <c r="V621" s="98"/>
      <c r="W621" s="98"/>
      <c r="X621" s="98"/>
    </row>
    <row r="622" spans="2:24">
      <c r="B622" s="7"/>
      <c r="C622" s="7">
        <v>173</v>
      </c>
      <c r="D622" s="24">
        <f t="shared" si="94"/>
        <v>0</v>
      </c>
      <c r="E622" s="103">
        <f t="shared" si="91"/>
        <v>0</v>
      </c>
      <c r="F622" s="53"/>
      <c r="G622" s="24">
        <f t="shared" si="92"/>
        <v>0</v>
      </c>
      <c r="H622" s="15">
        <f>IF(G622&gt;0,0,IF(AND(H621=0,SUM(K622:L622)=0),0,IF(D622=0,PPMT(D$65/12,COUNTIF(D$449:D622,0),D$66,Primary_Loan_Amount),0)))</f>
        <v>0</v>
      </c>
      <c r="I622" s="15">
        <f>-$G$52-SUM(H$449:H622)</f>
        <v>-23217621.943162207</v>
      </c>
      <c r="J622" s="24">
        <f t="shared" si="93"/>
        <v>0</v>
      </c>
      <c r="K622" s="51">
        <f>IF(L622=1,0,IF(SUM(K$449:K621)&gt;=Construction_Timeline,0,1))</f>
        <v>0</v>
      </c>
      <c r="L622" s="13">
        <f t="shared" si="95"/>
        <v>0</v>
      </c>
      <c r="M622" s="54">
        <f t="shared" si="90"/>
        <v>51288</v>
      </c>
      <c r="N622" s="7"/>
      <c r="O622" s="12"/>
      <c r="P622" s="98"/>
      <c r="Q622" s="98"/>
      <c r="R622" s="98"/>
      <c r="S622" s="98"/>
      <c r="T622" s="3"/>
      <c r="U622" s="98"/>
      <c r="V622" s="98"/>
      <c r="W622" s="98"/>
      <c r="X622" s="98"/>
    </row>
    <row r="623" spans="2:24">
      <c r="B623" s="7"/>
      <c r="C623" s="7">
        <v>174</v>
      </c>
      <c r="D623" s="24">
        <f t="shared" si="94"/>
        <v>0</v>
      </c>
      <c r="E623" s="103">
        <f t="shared" si="91"/>
        <v>0</v>
      </c>
      <c r="F623" s="53"/>
      <c r="G623" s="24">
        <f t="shared" si="92"/>
        <v>0</v>
      </c>
      <c r="H623" s="15">
        <f>IF(G623&gt;0,0,IF(AND(H622=0,SUM(K623:L623)=0),0,IF(D623=0,PPMT(D$65/12,COUNTIF(D$449:D623,0),D$66,Primary_Loan_Amount),0)))</f>
        <v>0</v>
      </c>
      <c r="I623" s="15">
        <f>-$G$52-SUM(H$449:H623)</f>
        <v>-23217621.943162207</v>
      </c>
      <c r="J623" s="24">
        <f t="shared" si="93"/>
        <v>0</v>
      </c>
      <c r="K623" s="51">
        <f>IF(L623=1,0,IF(SUM(K$449:K622)&gt;=Construction_Timeline,0,1))</f>
        <v>0</v>
      </c>
      <c r="L623" s="13">
        <f t="shared" si="95"/>
        <v>0</v>
      </c>
      <c r="M623" s="54">
        <f t="shared" si="90"/>
        <v>51318</v>
      </c>
      <c r="N623" s="7"/>
      <c r="O623" s="12"/>
      <c r="P623" s="98"/>
      <c r="Q623" s="98"/>
      <c r="R623" s="98"/>
      <c r="S623" s="98"/>
      <c r="T623" s="3"/>
      <c r="U623" s="98"/>
      <c r="V623" s="98"/>
      <c r="W623" s="98"/>
      <c r="X623" s="98"/>
    </row>
    <row r="624" spans="2:24">
      <c r="B624" s="7"/>
      <c r="C624" s="7">
        <v>175</v>
      </c>
      <c r="D624" s="24">
        <f t="shared" si="94"/>
        <v>0</v>
      </c>
      <c r="E624" s="103">
        <f t="shared" si="91"/>
        <v>0</v>
      </c>
      <c r="F624" s="53"/>
      <c r="G624" s="24">
        <f t="shared" si="92"/>
        <v>0</v>
      </c>
      <c r="H624" s="15">
        <f>IF(G624&gt;0,0,IF(AND(H623=0,SUM(K624:L624)=0),0,IF(D624=0,PPMT(D$65/12,COUNTIF(D$449:D624,0),D$66,Primary_Loan_Amount),0)))</f>
        <v>0</v>
      </c>
      <c r="I624" s="15">
        <f>-$G$52-SUM(H$449:H624)</f>
        <v>-23217621.943162207</v>
      </c>
      <c r="J624" s="24">
        <f t="shared" si="93"/>
        <v>0</v>
      </c>
      <c r="K624" s="51">
        <f>IF(L624=1,0,IF(SUM(K$449:K623)&gt;=Construction_Timeline,0,1))</f>
        <v>0</v>
      </c>
      <c r="L624" s="13">
        <f t="shared" si="95"/>
        <v>0</v>
      </c>
      <c r="M624" s="54">
        <f t="shared" si="90"/>
        <v>51349</v>
      </c>
      <c r="N624" s="7"/>
      <c r="O624" s="12"/>
      <c r="P624" s="98"/>
      <c r="Q624" s="98"/>
      <c r="R624" s="98"/>
      <c r="S624" s="98"/>
      <c r="T624" s="3"/>
      <c r="U624" s="98"/>
      <c r="V624" s="98"/>
      <c r="W624" s="98"/>
      <c r="X624" s="98"/>
    </row>
    <row r="625" spans="1:24">
      <c r="B625" s="7"/>
      <c r="C625" s="7">
        <v>176</v>
      </c>
      <c r="D625" s="24">
        <f t="shared" si="94"/>
        <v>0</v>
      </c>
      <c r="E625" s="103">
        <f t="shared" si="91"/>
        <v>0</v>
      </c>
      <c r="F625" s="53"/>
      <c r="G625" s="24">
        <f t="shared" si="92"/>
        <v>0</v>
      </c>
      <c r="H625" s="15">
        <f>IF(G625&gt;0,0,IF(AND(H624=0,SUM(K625:L625)=0),0,IF(D625=0,PPMT(D$65/12,COUNTIF(D$449:D625,0),D$66,Primary_Loan_Amount),0)))</f>
        <v>0</v>
      </c>
      <c r="I625" s="15">
        <f>-$G$52-SUM(H$449:H625)</f>
        <v>-23217621.943162207</v>
      </c>
      <c r="J625" s="24">
        <f t="shared" si="93"/>
        <v>0</v>
      </c>
      <c r="K625" s="51">
        <f>IF(L625=1,0,IF(SUM(K$449:K624)&gt;=Construction_Timeline,0,1))</f>
        <v>0</v>
      </c>
      <c r="L625" s="13">
        <f t="shared" si="95"/>
        <v>0</v>
      </c>
      <c r="M625" s="54">
        <f t="shared" si="90"/>
        <v>51380</v>
      </c>
      <c r="N625" s="7"/>
      <c r="O625" s="12"/>
      <c r="P625" s="98"/>
      <c r="Q625" s="98"/>
      <c r="R625" s="98"/>
      <c r="S625" s="98"/>
      <c r="T625" s="3"/>
      <c r="U625" s="98"/>
      <c r="V625" s="98"/>
      <c r="W625" s="98"/>
      <c r="X625" s="98"/>
    </row>
    <row r="626" spans="1:24">
      <c r="B626" s="7"/>
      <c r="C626" s="7">
        <v>177</v>
      </c>
      <c r="D626" s="24">
        <f t="shared" si="94"/>
        <v>0</v>
      </c>
      <c r="E626" s="103">
        <f t="shared" si="91"/>
        <v>0</v>
      </c>
      <c r="F626" s="53"/>
      <c r="G626" s="24">
        <f t="shared" si="92"/>
        <v>0</v>
      </c>
      <c r="H626" s="15">
        <f>IF(G626&gt;0,0,IF(AND(H625=0,SUM(K626:L626)=0),0,IF(D626=0,PPMT(D$65/12,COUNTIF(D$449:D626,0),D$66,Primary_Loan_Amount),0)))</f>
        <v>0</v>
      </c>
      <c r="I626" s="15">
        <f>-$G$52-SUM(H$449:H626)</f>
        <v>-23217621.943162207</v>
      </c>
      <c r="J626" s="24">
        <f t="shared" si="93"/>
        <v>0</v>
      </c>
      <c r="K626" s="51">
        <f>IF(L626=1,0,IF(SUM(K$449:K625)&gt;=Construction_Timeline,0,1))</f>
        <v>0</v>
      </c>
      <c r="L626" s="13">
        <f t="shared" si="95"/>
        <v>0</v>
      </c>
      <c r="M626" s="54">
        <f t="shared" si="90"/>
        <v>51410</v>
      </c>
      <c r="N626" s="7"/>
      <c r="O626" s="12"/>
      <c r="P626" s="98"/>
      <c r="Q626" s="98"/>
      <c r="R626" s="98"/>
      <c r="S626" s="98"/>
      <c r="T626" s="3"/>
      <c r="U626" s="98"/>
      <c r="V626" s="98"/>
      <c r="W626" s="98"/>
      <c r="X626" s="98"/>
    </row>
    <row r="627" spans="1:24">
      <c r="B627" s="7"/>
      <c r="C627" s="7">
        <v>178</v>
      </c>
      <c r="D627" s="24">
        <f t="shared" si="94"/>
        <v>0</v>
      </c>
      <c r="E627" s="103">
        <f t="shared" si="91"/>
        <v>0</v>
      </c>
      <c r="F627" s="53"/>
      <c r="G627" s="24">
        <f t="shared" si="92"/>
        <v>0</v>
      </c>
      <c r="H627" s="15">
        <f>IF(G627&gt;0,0,IF(AND(H626=0,SUM(K627:L627)=0),0,IF(D627=0,PPMT(D$65/12,COUNTIF(D$449:D627,0),D$66,Primary_Loan_Amount),0)))</f>
        <v>0</v>
      </c>
      <c r="I627" s="15">
        <f>-$G$52-SUM(H$449:H627)</f>
        <v>-23217621.943162207</v>
      </c>
      <c r="J627" s="24">
        <f t="shared" si="93"/>
        <v>0</v>
      </c>
      <c r="K627" s="51">
        <f>IF(L627=1,0,IF(SUM(K$449:K626)&gt;=Construction_Timeline,0,1))</f>
        <v>0</v>
      </c>
      <c r="L627" s="13">
        <f t="shared" si="95"/>
        <v>0</v>
      </c>
      <c r="M627" s="54">
        <f t="shared" si="90"/>
        <v>51441</v>
      </c>
      <c r="N627" s="7"/>
      <c r="O627" s="12"/>
      <c r="P627" s="98"/>
      <c r="Q627" s="98"/>
      <c r="R627" s="98"/>
      <c r="S627" s="98"/>
      <c r="T627" s="3"/>
      <c r="U627" s="98"/>
      <c r="V627" s="98"/>
      <c r="W627" s="98"/>
      <c r="X627" s="98"/>
    </row>
    <row r="628" spans="1:24">
      <c r="B628" s="7"/>
      <c r="C628" s="7">
        <v>179</v>
      </c>
      <c r="D628" s="24">
        <f t="shared" si="94"/>
        <v>0</v>
      </c>
      <c r="E628" s="103">
        <f t="shared" si="91"/>
        <v>0</v>
      </c>
      <c r="F628" s="53"/>
      <c r="G628" s="24">
        <f t="shared" si="92"/>
        <v>0</v>
      </c>
      <c r="H628" s="15">
        <f>IF(G628&gt;0,0,IF(AND(H627=0,SUM(K628:L628)=0),0,IF(D628=0,PPMT(D$65/12,COUNTIF(D$449:D628,0),D$66,Primary_Loan_Amount),0)))</f>
        <v>0</v>
      </c>
      <c r="I628" s="15">
        <f>-$G$52-SUM(H$449:H628)</f>
        <v>-23217621.943162207</v>
      </c>
      <c r="J628" s="24">
        <f t="shared" si="93"/>
        <v>0</v>
      </c>
      <c r="K628" s="51">
        <f>IF(L628=1,0,IF(SUM(K$449:K627)&gt;=Construction_Timeline,0,1))</f>
        <v>0</v>
      </c>
      <c r="L628" s="13">
        <f t="shared" si="95"/>
        <v>0</v>
      </c>
      <c r="M628" s="54">
        <f t="shared" si="90"/>
        <v>51471</v>
      </c>
      <c r="N628" s="7"/>
      <c r="O628" s="12"/>
      <c r="P628" s="98"/>
      <c r="Q628" s="98"/>
      <c r="R628" s="98"/>
      <c r="S628" s="98"/>
      <c r="T628" s="3"/>
      <c r="U628" s="98"/>
      <c r="V628" s="98"/>
      <c r="W628" s="98"/>
      <c r="X628" s="98"/>
    </row>
    <row r="629" spans="1:24">
      <c r="B629" s="7"/>
      <c r="C629" s="7">
        <v>180</v>
      </c>
      <c r="D629" s="24">
        <f t="shared" si="94"/>
        <v>0</v>
      </c>
      <c r="E629" s="103">
        <f t="shared" si="91"/>
        <v>0</v>
      </c>
      <c r="F629" s="53"/>
      <c r="G629" s="24">
        <f t="shared" si="92"/>
        <v>0</v>
      </c>
      <c r="H629" s="15">
        <f>IF(G629&gt;0,0,IF(AND(H628=0,SUM(K629:L629)=0),0,IF(D629=0,PPMT(D$65/12,C629+1-PreDev_Timeline,D$66,G$52),0)))</f>
        <v>0</v>
      </c>
      <c r="I629" s="15">
        <f>-$G$52-SUM(H$449:H629)</f>
        <v>-23217621.943162207</v>
      </c>
      <c r="J629" s="24">
        <f t="shared" si="93"/>
        <v>0</v>
      </c>
      <c r="K629" s="51">
        <f>IF(L629=1,0,IF(SUM(K$449:K628)&gt;=Construction_Timeline,0,1))</f>
        <v>0</v>
      </c>
      <c r="L629" s="13">
        <f t="shared" si="95"/>
        <v>0</v>
      </c>
      <c r="M629" s="54">
        <f t="shared" si="90"/>
        <v>51502</v>
      </c>
      <c r="N629" s="7"/>
      <c r="O629" s="12"/>
      <c r="P629" s="98"/>
      <c r="Q629" s="98"/>
      <c r="R629" s="98"/>
      <c r="S629" s="98"/>
      <c r="T629" s="3"/>
      <c r="U629" s="98"/>
      <c r="V629" s="98"/>
      <c r="W629" s="98"/>
      <c r="X629" s="98"/>
    </row>
    <row r="630" spans="1:24">
      <c r="B630" s="7"/>
      <c r="C630" s="7"/>
      <c r="D630" s="7"/>
      <c r="E630" s="7"/>
      <c r="F630" s="7"/>
      <c r="G630" s="7"/>
      <c r="H630" s="7"/>
      <c r="I630" s="7"/>
      <c r="J630" s="7"/>
      <c r="K630" s="7"/>
      <c r="L630" s="7"/>
      <c r="M630" s="73"/>
      <c r="N630" s="7"/>
      <c r="O630" s="12"/>
      <c r="P630" s="3"/>
      <c r="Q630" s="3"/>
      <c r="R630" s="3"/>
      <c r="S630" s="3"/>
      <c r="T630" s="3"/>
      <c r="U630" s="3"/>
      <c r="V630" s="3"/>
    </row>
    <row r="631" spans="1:24" ht="15.6">
      <c r="B631" s="7"/>
      <c r="C631" s="41" t="s">
        <v>136</v>
      </c>
      <c r="D631" s="39"/>
      <c r="E631" s="39"/>
      <c r="F631" s="39"/>
      <c r="G631" s="39"/>
      <c r="H631" s="39"/>
      <c r="I631" s="39"/>
      <c r="J631" s="39"/>
      <c r="K631" s="97" t="s">
        <v>87</v>
      </c>
      <c r="L631" s="7"/>
      <c r="M631" s="7"/>
      <c r="N631" s="7"/>
      <c r="O631" s="12"/>
      <c r="P631" s="3"/>
      <c r="Q631" s="3"/>
      <c r="R631" s="3"/>
      <c r="S631" s="3"/>
      <c r="T631" s="3"/>
      <c r="U631" s="3"/>
      <c r="V631" s="3"/>
    </row>
    <row r="632" spans="1:24">
      <c r="B632" s="7"/>
      <c r="C632" s="7"/>
      <c r="D632" s="101">
        <f>D259</f>
        <v>-30000000.000000007</v>
      </c>
      <c r="E632" s="101">
        <f t="shared" ref="E632:J632" si="96">E259</f>
        <v>-5999999.9999999935</v>
      </c>
      <c r="F632" s="101">
        <f t="shared" si="96"/>
        <v>0</v>
      </c>
      <c r="G632" s="101">
        <f t="shared" si="96"/>
        <v>43650000</v>
      </c>
      <c r="H632" s="101">
        <f t="shared" si="96"/>
        <v>0</v>
      </c>
      <c r="I632" s="101">
        <f t="shared" si="96"/>
        <v>-30000000</v>
      </c>
      <c r="J632" s="101">
        <f t="shared" si="96"/>
        <v>7650000</v>
      </c>
      <c r="K632" s="7"/>
      <c r="L632" s="7"/>
      <c r="M632" s="7"/>
      <c r="N632" s="7"/>
      <c r="O632" s="12"/>
      <c r="P632" s="3"/>
      <c r="Q632" s="3"/>
      <c r="R632" s="3"/>
      <c r="S632" s="3"/>
      <c r="T632" s="3"/>
      <c r="U632" s="3"/>
      <c r="V632" s="3"/>
    </row>
    <row r="633" spans="1:24">
      <c r="B633" s="7"/>
      <c r="C633" s="7"/>
      <c r="D633" s="101">
        <f>SUM(D635:D815)</f>
        <v>-30000000.000000007</v>
      </c>
      <c r="E633" s="101">
        <f>SUM(E635:E815)</f>
        <v>-5999999.9999999935</v>
      </c>
      <c r="F633" s="13"/>
      <c r="G633" s="101">
        <f>SUM(G635:G815)</f>
        <v>43650000</v>
      </c>
      <c r="H633" s="101">
        <f>SUM(H635:H815)</f>
        <v>0</v>
      </c>
      <c r="I633" s="101">
        <f>-Construction_Costs-H633</f>
        <v>-30000000</v>
      </c>
      <c r="J633" s="101">
        <f>SUM(J635:J815)</f>
        <v>7650000</v>
      </c>
      <c r="K633" s="13"/>
      <c r="L633" s="7"/>
      <c r="M633" s="73"/>
      <c r="N633" s="7"/>
      <c r="O633" s="12"/>
      <c r="P633" s="3"/>
      <c r="Q633" s="3"/>
      <c r="R633" s="3"/>
      <c r="S633" s="3"/>
      <c r="T633" s="3"/>
      <c r="U633" s="3"/>
      <c r="V633" s="3"/>
    </row>
    <row r="634" spans="1:24">
      <c r="B634" s="7"/>
      <c r="C634" s="7" t="s">
        <v>32</v>
      </c>
      <c r="D634" s="13" t="s">
        <v>33</v>
      </c>
      <c r="E634" s="13" t="s">
        <v>34</v>
      </c>
      <c r="F634" s="9" t="s">
        <v>39</v>
      </c>
      <c r="G634" s="7" t="s">
        <v>21</v>
      </c>
      <c r="H634" s="7" t="s">
        <v>75</v>
      </c>
      <c r="I634" s="7"/>
      <c r="J634" s="7" t="s">
        <v>22</v>
      </c>
      <c r="K634" s="13" t="s">
        <v>35</v>
      </c>
      <c r="L634" s="13" t="s">
        <v>36</v>
      </c>
      <c r="M634" s="73"/>
      <c r="N634" s="7"/>
      <c r="O634" s="12"/>
      <c r="P634" s="3"/>
      <c r="Q634" s="3"/>
      <c r="R634" s="3"/>
      <c r="S634" s="3"/>
      <c r="T634" s="3"/>
      <c r="U634" s="3"/>
      <c r="V634" s="3"/>
    </row>
    <row r="635" spans="1:24">
      <c r="B635" s="7"/>
      <c r="C635" s="7">
        <v>0</v>
      </c>
      <c r="D635" s="24">
        <f>IF(K635=1,-Incentive_Construction_Costs/Construction_Timeline,0)</f>
        <v>0</v>
      </c>
      <c r="E635" s="103">
        <f>MIN(-1,-Incentive_Land_Costs)</f>
        <v>-4000000</v>
      </c>
      <c r="F635" s="53"/>
      <c r="G635" s="24">
        <f t="shared" ref="G635:G666" si="97">IF(C635=SUM(Month_of_Sale,PreDev_Timeline,Construction_Timeline),Incentive_Sales_Price*(1-D$64),0)</f>
        <v>0</v>
      </c>
      <c r="H635" s="15"/>
      <c r="I635" s="15"/>
      <c r="J635" s="24">
        <f t="shared" ref="J635:J666" si="98">SUM(D635:G635)</f>
        <v>-4000000</v>
      </c>
      <c r="K635" s="51">
        <v>0</v>
      </c>
      <c r="L635" s="13">
        <v>0</v>
      </c>
      <c r="M635" s="72">
        <v>46023</v>
      </c>
      <c r="N635" s="7"/>
      <c r="O635" s="12"/>
    </row>
    <row r="636" spans="1:24" customFormat="1">
      <c r="A636" s="3"/>
      <c r="B636" s="7"/>
      <c r="C636" s="7">
        <v>1</v>
      </c>
      <c r="D636" s="24">
        <f t="shared" ref="D636:D698" si="99">IF(K636=1,-Construction_Costs/Construction_Timeline,0)</f>
        <v>0</v>
      </c>
      <c r="E636" s="103">
        <f t="shared" ref="E636:E667" si="100">-Incentive_Pre_Development_Costs/PreDev_Timeline*L636</f>
        <v>-83333.333333333328</v>
      </c>
      <c r="F636" s="53"/>
      <c r="G636" s="24">
        <f t="shared" si="97"/>
        <v>0</v>
      </c>
      <c r="H636" s="15"/>
      <c r="I636" s="15"/>
      <c r="J636" s="24">
        <f t="shared" si="98"/>
        <v>-83333.333333333328</v>
      </c>
      <c r="K636" s="51">
        <f>IF(L636=1,0,IF(SUM(K$635:K635)&gt;=Construction_Timeline,0,1))</f>
        <v>0</v>
      </c>
      <c r="L636" s="13">
        <f t="shared" ref="L636:L667" si="101">IF(C636&lt;=PreDev_Timeline,1,0)</f>
        <v>1</v>
      </c>
      <c r="M636" s="54">
        <f>EDATE(M635,1)</f>
        <v>46054</v>
      </c>
      <c r="N636" s="7"/>
      <c r="O636" s="12"/>
      <c r="Q636" s="65"/>
      <c r="W636" s="3"/>
      <c r="X636" s="3"/>
    </row>
    <row r="637" spans="1:24" customFormat="1">
      <c r="A637" s="3"/>
      <c r="B637" s="7"/>
      <c r="C637" s="7">
        <v>2</v>
      </c>
      <c r="D637" s="24">
        <f t="shared" si="99"/>
        <v>0</v>
      </c>
      <c r="E637" s="103">
        <f t="shared" si="100"/>
        <v>-83333.333333333328</v>
      </c>
      <c r="F637" s="53"/>
      <c r="G637" s="24">
        <f t="shared" si="97"/>
        <v>0</v>
      </c>
      <c r="H637" s="15"/>
      <c r="I637" s="15"/>
      <c r="J637" s="24">
        <f t="shared" si="98"/>
        <v>-83333.333333333328</v>
      </c>
      <c r="K637" s="51">
        <f>IF(L637=1,0,IF(SUM(K$635:K636)&gt;=Construction_Timeline,0,1))</f>
        <v>0</v>
      </c>
      <c r="L637" s="13">
        <f t="shared" si="101"/>
        <v>1</v>
      </c>
      <c r="M637" s="54">
        <f t="shared" ref="M637:M700" si="102">EDATE(M636,1)</f>
        <v>46082</v>
      </c>
      <c r="N637" s="7"/>
      <c r="O637" s="12"/>
      <c r="Q637" s="65"/>
      <c r="W637" s="3"/>
      <c r="X637" s="3"/>
    </row>
    <row r="638" spans="1:24" customFormat="1">
      <c r="A638" s="3"/>
      <c r="B638" s="7"/>
      <c r="C638" s="7">
        <v>3</v>
      </c>
      <c r="D638" s="24">
        <f t="shared" si="99"/>
        <v>0</v>
      </c>
      <c r="E638" s="103">
        <f t="shared" si="100"/>
        <v>-83333.333333333328</v>
      </c>
      <c r="F638" s="53"/>
      <c r="G638" s="24">
        <f t="shared" si="97"/>
        <v>0</v>
      </c>
      <c r="H638" s="15"/>
      <c r="I638" s="15"/>
      <c r="J638" s="24">
        <f t="shared" si="98"/>
        <v>-83333.333333333328</v>
      </c>
      <c r="K638" s="51">
        <f>IF(L638=1,0,IF(SUM(K$635:K637)&gt;=Construction_Timeline,0,1))</f>
        <v>0</v>
      </c>
      <c r="L638" s="13">
        <f t="shared" si="101"/>
        <v>1</v>
      </c>
      <c r="M638" s="54">
        <f t="shared" si="102"/>
        <v>46113</v>
      </c>
      <c r="N638" s="7"/>
      <c r="O638" s="12"/>
      <c r="Q638" s="65"/>
      <c r="W638" s="3"/>
      <c r="X638" s="3"/>
    </row>
    <row r="639" spans="1:24" customFormat="1">
      <c r="A639" s="3"/>
      <c r="B639" s="7"/>
      <c r="C639" s="7">
        <v>4</v>
      </c>
      <c r="D639" s="24">
        <f t="shared" si="99"/>
        <v>0</v>
      </c>
      <c r="E639" s="103">
        <f t="shared" si="100"/>
        <v>-83333.333333333328</v>
      </c>
      <c r="F639" s="53"/>
      <c r="G639" s="24">
        <f t="shared" si="97"/>
        <v>0</v>
      </c>
      <c r="H639" s="15"/>
      <c r="I639" s="15"/>
      <c r="J639" s="24">
        <f t="shared" si="98"/>
        <v>-83333.333333333328</v>
      </c>
      <c r="K639" s="51">
        <f>IF(L639=1,0,IF(SUM(K$635:K638)&gt;=Construction_Timeline,0,1))</f>
        <v>0</v>
      </c>
      <c r="L639" s="13">
        <f t="shared" si="101"/>
        <v>1</v>
      </c>
      <c r="M639" s="54">
        <f t="shared" si="102"/>
        <v>46143</v>
      </c>
      <c r="N639" s="7"/>
      <c r="O639" s="12"/>
      <c r="Q639" s="65"/>
      <c r="W639" s="3"/>
      <c r="X639" s="3"/>
    </row>
    <row r="640" spans="1:24" customFormat="1">
      <c r="A640" s="3"/>
      <c r="B640" s="7"/>
      <c r="C640" s="7">
        <v>5</v>
      </c>
      <c r="D640" s="24">
        <f t="shared" si="99"/>
        <v>0</v>
      </c>
      <c r="E640" s="103">
        <f t="shared" si="100"/>
        <v>-83333.333333333328</v>
      </c>
      <c r="F640" s="53"/>
      <c r="G640" s="24">
        <f t="shared" si="97"/>
        <v>0</v>
      </c>
      <c r="H640" s="15"/>
      <c r="I640" s="15"/>
      <c r="J640" s="24">
        <f t="shared" si="98"/>
        <v>-83333.333333333328</v>
      </c>
      <c r="K640" s="51">
        <f>IF(L640=1,0,IF(SUM(K$635:K639)&gt;=Construction_Timeline,0,1))</f>
        <v>0</v>
      </c>
      <c r="L640" s="13">
        <f t="shared" si="101"/>
        <v>1</v>
      </c>
      <c r="M640" s="54">
        <f t="shared" si="102"/>
        <v>46174</v>
      </c>
      <c r="N640" s="7"/>
      <c r="O640" s="12"/>
      <c r="Q640" s="65"/>
      <c r="W640" s="3"/>
      <c r="X640" s="3"/>
    </row>
    <row r="641" spans="1:24" customFormat="1">
      <c r="A641" s="3"/>
      <c r="B641" s="7"/>
      <c r="C641" s="7">
        <v>6</v>
      </c>
      <c r="D641" s="24">
        <f t="shared" si="99"/>
        <v>0</v>
      </c>
      <c r="E641" s="103">
        <f t="shared" si="100"/>
        <v>-83333.333333333328</v>
      </c>
      <c r="F641" s="53"/>
      <c r="G641" s="24">
        <f t="shared" si="97"/>
        <v>0</v>
      </c>
      <c r="H641" s="15"/>
      <c r="I641" s="15"/>
      <c r="J641" s="24">
        <f t="shared" si="98"/>
        <v>-83333.333333333328</v>
      </c>
      <c r="K641" s="51">
        <f>IF(L641=1,0,IF(SUM(K$635:K640)&gt;=Construction_Timeline,0,1))</f>
        <v>0</v>
      </c>
      <c r="L641" s="13">
        <f t="shared" si="101"/>
        <v>1</v>
      </c>
      <c r="M641" s="54">
        <f t="shared" si="102"/>
        <v>46204</v>
      </c>
      <c r="N641" s="7"/>
      <c r="O641" s="12"/>
      <c r="Q641" s="65"/>
      <c r="W641" s="3"/>
      <c r="X641" s="3"/>
    </row>
    <row r="642" spans="1:24" customFormat="1">
      <c r="A642" s="3"/>
      <c r="B642" s="7"/>
      <c r="C642" s="7">
        <v>7</v>
      </c>
      <c r="D642" s="24">
        <f t="shared" si="99"/>
        <v>0</v>
      </c>
      <c r="E642" s="103">
        <f t="shared" si="100"/>
        <v>-83333.333333333328</v>
      </c>
      <c r="F642" s="53"/>
      <c r="G642" s="24">
        <f t="shared" si="97"/>
        <v>0</v>
      </c>
      <c r="H642" s="15"/>
      <c r="I642" s="15"/>
      <c r="J642" s="24">
        <f t="shared" si="98"/>
        <v>-83333.333333333328</v>
      </c>
      <c r="K642" s="51">
        <f>IF(L642=1,0,IF(SUM(K$635:K641)&gt;=Construction_Timeline,0,1))</f>
        <v>0</v>
      </c>
      <c r="L642" s="13">
        <f t="shared" si="101"/>
        <v>1</v>
      </c>
      <c r="M642" s="54">
        <f t="shared" si="102"/>
        <v>46235</v>
      </c>
      <c r="N642" s="7"/>
      <c r="O642" s="12"/>
      <c r="Q642" s="65"/>
      <c r="W642" s="3"/>
      <c r="X642" s="3"/>
    </row>
    <row r="643" spans="1:24" customFormat="1">
      <c r="A643" s="3"/>
      <c r="B643" s="7"/>
      <c r="C643" s="7">
        <v>8</v>
      </c>
      <c r="D643" s="24">
        <f t="shared" si="99"/>
        <v>0</v>
      </c>
      <c r="E643" s="103">
        <f t="shared" si="100"/>
        <v>-83333.333333333328</v>
      </c>
      <c r="F643" s="53"/>
      <c r="G643" s="24">
        <f t="shared" si="97"/>
        <v>0</v>
      </c>
      <c r="H643" s="15"/>
      <c r="I643" s="15"/>
      <c r="J643" s="24">
        <f t="shared" si="98"/>
        <v>-83333.333333333328</v>
      </c>
      <c r="K643" s="51">
        <f>IF(L643=1,0,IF(SUM(K$635:K642)&gt;=Construction_Timeline,0,1))</f>
        <v>0</v>
      </c>
      <c r="L643" s="13">
        <f t="shared" si="101"/>
        <v>1</v>
      </c>
      <c r="M643" s="54">
        <f t="shared" si="102"/>
        <v>46266</v>
      </c>
      <c r="N643" s="7"/>
      <c r="O643" s="12"/>
      <c r="Q643" s="65"/>
      <c r="W643" s="3"/>
      <c r="X643" s="3"/>
    </row>
    <row r="644" spans="1:24" customFormat="1">
      <c r="A644" s="3"/>
      <c r="B644" s="7"/>
      <c r="C644" s="7">
        <v>9</v>
      </c>
      <c r="D644" s="24">
        <f t="shared" si="99"/>
        <v>0</v>
      </c>
      <c r="E644" s="103">
        <f t="shared" si="100"/>
        <v>-83333.333333333328</v>
      </c>
      <c r="F644" s="53"/>
      <c r="G644" s="24">
        <f t="shared" si="97"/>
        <v>0</v>
      </c>
      <c r="H644" s="15"/>
      <c r="I644" s="15"/>
      <c r="J644" s="24">
        <f t="shared" si="98"/>
        <v>-83333.333333333328</v>
      </c>
      <c r="K644" s="51">
        <f>IF(L644=1,0,IF(SUM(K$635:K643)&gt;=Construction_Timeline,0,1))</f>
        <v>0</v>
      </c>
      <c r="L644" s="13">
        <f t="shared" si="101"/>
        <v>1</v>
      </c>
      <c r="M644" s="54">
        <f t="shared" si="102"/>
        <v>46296</v>
      </c>
      <c r="N644" s="7"/>
      <c r="O644" s="12"/>
      <c r="Q644" s="65"/>
      <c r="W644" s="3"/>
      <c r="X644" s="3"/>
    </row>
    <row r="645" spans="1:24" customFormat="1">
      <c r="A645" s="3"/>
      <c r="B645" s="7"/>
      <c r="C645" s="7">
        <v>10</v>
      </c>
      <c r="D645" s="24">
        <f t="shared" si="99"/>
        <v>0</v>
      </c>
      <c r="E645" s="103">
        <f t="shared" si="100"/>
        <v>-83333.333333333328</v>
      </c>
      <c r="F645" s="53"/>
      <c r="G645" s="24">
        <f t="shared" si="97"/>
        <v>0</v>
      </c>
      <c r="H645" s="15"/>
      <c r="I645" s="15"/>
      <c r="J645" s="24">
        <f t="shared" si="98"/>
        <v>-83333.333333333328</v>
      </c>
      <c r="K645" s="51">
        <f>IF(L645=1,0,IF(SUM(K$635:K644)&gt;=Construction_Timeline,0,1))</f>
        <v>0</v>
      </c>
      <c r="L645" s="13">
        <f t="shared" si="101"/>
        <v>1</v>
      </c>
      <c r="M645" s="54">
        <f t="shared" si="102"/>
        <v>46327</v>
      </c>
      <c r="N645" s="7"/>
      <c r="O645" s="12"/>
      <c r="Q645" s="65"/>
      <c r="W645" s="3"/>
      <c r="X645" s="3"/>
    </row>
    <row r="646" spans="1:24" customFormat="1">
      <c r="A646" s="3"/>
      <c r="B646" s="7"/>
      <c r="C646" s="7">
        <v>11</v>
      </c>
      <c r="D646" s="24">
        <f t="shared" si="99"/>
        <v>0</v>
      </c>
      <c r="E646" s="103">
        <f t="shared" si="100"/>
        <v>-83333.333333333328</v>
      </c>
      <c r="F646" s="53"/>
      <c r="G646" s="24">
        <f t="shared" si="97"/>
        <v>0</v>
      </c>
      <c r="H646" s="15"/>
      <c r="I646" s="15"/>
      <c r="J646" s="24">
        <f t="shared" si="98"/>
        <v>-83333.333333333328</v>
      </c>
      <c r="K646" s="51">
        <f>IF(L646=1,0,IF(SUM(K$635:K645)&gt;=Construction_Timeline,0,1))</f>
        <v>0</v>
      </c>
      <c r="L646" s="13">
        <f t="shared" si="101"/>
        <v>1</v>
      </c>
      <c r="M646" s="54">
        <f t="shared" si="102"/>
        <v>46357</v>
      </c>
      <c r="N646" s="7"/>
      <c r="O646" s="12"/>
      <c r="Q646" s="65"/>
      <c r="W646" s="3"/>
      <c r="X646" s="3"/>
    </row>
    <row r="647" spans="1:24" customFormat="1">
      <c r="A647" s="3"/>
      <c r="B647" s="7"/>
      <c r="C647" s="7">
        <v>12</v>
      </c>
      <c r="D647" s="24">
        <f t="shared" si="99"/>
        <v>0</v>
      </c>
      <c r="E647" s="103">
        <f t="shared" si="100"/>
        <v>-83333.333333333328</v>
      </c>
      <c r="F647" s="53"/>
      <c r="G647" s="24">
        <f t="shared" si="97"/>
        <v>0</v>
      </c>
      <c r="H647" s="15"/>
      <c r="I647" s="15"/>
      <c r="J647" s="24">
        <f t="shared" si="98"/>
        <v>-83333.333333333328</v>
      </c>
      <c r="K647" s="51">
        <f>IF(L647=1,0,IF(SUM(K$635:K646)&gt;=Construction_Timeline,0,1))</f>
        <v>0</v>
      </c>
      <c r="L647" s="13">
        <f t="shared" si="101"/>
        <v>1</v>
      </c>
      <c r="M647" s="54">
        <f t="shared" si="102"/>
        <v>46388</v>
      </c>
      <c r="N647" s="7"/>
      <c r="O647" s="12"/>
      <c r="Q647" s="65"/>
      <c r="W647" s="3"/>
      <c r="X647" s="3"/>
    </row>
    <row r="648" spans="1:24" customFormat="1">
      <c r="A648" s="3"/>
      <c r="B648" s="7"/>
      <c r="C648" s="7">
        <v>13</v>
      </c>
      <c r="D648" s="24">
        <f t="shared" si="99"/>
        <v>0</v>
      </c>
      <c r="E648" s="103">
        <f t="shared" si="100"/>
        <v>-83333.333333333328</v>
      </c>
      <c r="F648" s="53"/>
      <c r="G648" s="24">
        <f t="shared" si="97"/>
        <v>0</v>
      </c>
      <c r="H648" s="15"/>
      <c r="I648" s="15"/>
      <c r="J648" s="24">
        <f t="shared" si="98"/>
        <v>-83333.333333333328</v>
      </c>
      <c r="K648" s="51">
        <f>IF(L648=1,0,IF(SUM(K$635:K647)&gt;=Construction_Timeline,0,1))</f>
        <v>0</v>
      </c>
      <c r="L648" s="13">
        <f t="shared" si="101"/>
        <v>1</v>
      </c>
      <c r="M648" s="54">
        <f t="shared" si="102"/>
        <v>46419</v>
      </c>
      <c r="N648" s="7"/>
      <c r="O648" s="12"/>
      <c r="Q648" s="65"/>
      <c r="W648" s="3"/>
      <c r="X648" s="3"/>
    </row>
    <row r="649" spans="1:24" customFormat="1">
      <c r="A649" s="3"/>
      <c r="B649" s="7"/>
      <c r="C649" s="7">
        <v>14</v>
      </c>
      <c r="D649" s="24">
        <f t="shared" si="99"/>
        <v>0</v>
      </c>
      <c r="E649" s="103">
        <f t="shared" si="100"/>
        <v>-83333.333333333328</v>
      </c>
      <c r="F649" s="53"/>
      <c r="G649" s="24">
        <f t="shared" si="97"/>
        <v>0</v>
      </c>
      <c r="H649" s="15"/>
      <c r="I649" s="15"/>
      <c r="J649" s="24">
        <f t="shared" si="98"/>
        <v>-83333.333333333328</v>
      </c>
      <c r="K649" s="51">
        <f>IF(L649=1,0,IF(SUM(K$635:K648)&gt;=Construction_Timeline,0,1))</f>
        <v>0</v>
      </c>
      <c r="L649" s="13">
        <f t="shared" si="101"/>
        <v>1</v>
      </c>
      <c r="M649" s="54">
        <f t="shared" si="102"/>
        <v>46447</v>
      </c>
      <c r="N649" s="7"/>
      <c r="O649" s="12"/>
      <c r="Q649" s="65"/>
      <c r="W649" s="3"/>
      <c r="X649" s="3"/>
    </row>
    <row r="650" spans="1:24" customFormat="1">
      <c r="A650" s="3"/>
      <c r="B650" s="7"/>
      <c r="C650" s="7">
        <v>15</v>
      </c>
      <c r="D650" s="24">
        <f t="shared" si="99"/>
        <v>0</v>
      </c>
      <c r="E650" s="103">
        <f t="shared" si="100"/>
        <v>-83333.333333333328</v>
      </c>
      <c r="F650" s="53"/>
      <c r="G650" s="24">
        <f t="shared" si="97"/>
        <v>0</v>
      </c>
      <c r="H650" s="15"/>
      <c r="I650" s="15"/>
      <c r="J650" s="24">
        <f t="shared" si="98"/>
        <v>-83333.333333333328</v>
      </c>
      <c r="K650" s="51">
        <f>IF(L650=1,0,IF(SUM(K$635:K649)&gt;=Construction_Timeline,0,1))</f>
        <v>0</v>
      </c>
      <c r="L650" s="13">
        <f t="shared" si="101"/>
        <v>1</v>
      </c>
      <c r="M650" s="54">
        <f t="shared" si="102"/>
        <v>46478</v>
      </c>
      <c r="N650" s="7"/>
      <c r="O650" s="12"/>
      <c r="Q650" s="65"/>
      <c r="W650" s="3"/>
      <c r="X650" s="3"/>
    </row>
    <row r="651" spans="1:24" customFormat="1">
      <c r="A651" s="3"/>
      <c r="B651" s="7"/>
      <c r="C651" s="7">
        <v>16</v>
      </c>
      <c r="D651" s="24">
        <f t="shared" si="99"/>
        <v>0</v>
      </c>
      <c r="E651" s="103">
        <f t="shared" si="100"/>
        <v>-83333.333333333328</v>
      </c>
      <c r="F651" s="53"/>
      <c r="G651" s="24">
        <f t="shared" si="97"/>
        <v>0</v>
      </c>
      <c r="H651" s="15"/>
      <c r="I651" s="15"/>
      <c r="J651" s="24">
        <f t="shared" si="98"/>
        <v>-83333.333333333328</v>
      </c>
      <c r="K651" s="51">
        <f>IF(L651=1,0,IF(SUM(K$635:K650)&gt;=Construction_Timeline,0,1))</f>
        <v>0</v>
      </c>
      <c r="L651" s="13">
        <f t="shared" si="101"/>
        <v>1</v>
      </c>
      <c r="M651" s="54">
        <f t="shared" si="102"/>
        <v>46508</v>
      </c>
      <c r="N651" s="7"/>
      <c r="O651" s="12"/>
      <c r="Q651" s="65"/>
      <c r="W651" s="3"/>
      <c r="X651" s="3"/>
    </row>
    <row r="652" spans="1:24" customFormat="1">
      <c r="A652" s="3"/>
      <c r="B652" s="7"/>
      <c r="C652" s="7">
        <v>17</v>
      </c>
      <c r="D652" s="24">
        <f t="shared" si="99"/>
        <v>0</v>
      </c>
      <c r="E652" s="103">
        <f t="shared" si="100"/>
        <v>-83333.333333333328</v>
      </c>
      <c r="F652" s="53"/>
      <c r="G652" s="24">
        <f t="shared" si="97"/>
        <v>0</v>
      </c>
      <c r="H652" s="15"/>
      <c r="I652" s="15"/>
      <c r="J652" s="24">
        <f t="shared" si="98"/>
        <v>-83333.333333333328</v>
      </c>
      <c r="K652" s="51">
        <f>IF(L652=1,0,IF(SUM(K$635:K651)&gt;=Construction_Timeline,0,1))</f>
        <v>0</v>
      </c>
      <c r="L652" s="13">
        <f t="shared" si="101"/>
        <v>1</v>
      </c>
      <c r="M652" s="54">
        <f t="shared" si="102"/>
        <v>46539</v>
      </c>
      <c r="N652" s="7"/>
      <c r="O652" s="12"/>
      <c r="Q652" s="65"/>
      <c r="W652" s="3"/>
      <c r="X652" s="3"/>
    </row>
    <row r="653" spans="1:24" customFormat="1">
      <c r="A653" s="3"/>
      <c r="B653" s="7"/>
      <c r="C653" s="7">
        <v>18</v>
      </c>
      <c r="D653" s="24">
        <f t="shared" si="99"/>
        <v>0</v>
      </c>
      <c r="E653" s="103">
        <f t="shared" si="100"/>
        <v>-83333.333333333328</v>
      </c>
      <c r="F653" s="53"/>
      <c r="G653" s="24">
        <f t="shared" si="97"/>
        <v>0</v>
      </c>
      <c r="H653" s="15"/>
      <c r="I653" s="15"/>
      <c r="J653" s="24">
        <f t="shared" si="98"/>
        <v>-83333.333333333328</v>
      </c>
      <c r="K653" s="51">
        <f>IF(L653=1,0,IF(SUM(K$635:K652)&gt;=Construction_Timeline,0,1))</f>
        <v>0</v>
      </c>
      <c r="L653" s="13">
        <f t="shared" si="101"/>
        <v>1</v>
      </c>
      <c r="M653" s="54">
        <f t="shared" si="102"/>
        <v>46569</v>
      </c>
      <c r="N653" s="7"/>
      <c r="O653" s="12"/>
      <c r="Q653" s="65"/>
      <c r="W653" s="3"/>
      <c r="X653" s="3"/>
    </row>
    <row r="654" spans="1:24" customFormat="1">
      <c r="A654" s="3"/>
      <c r="B654" s="7"/>
      <c r="C654" s="7">
        <v>19</v>
      </c>
      <c r="D654" s="24">
        <f t="shared" si="99"/>
        <v>0</v>
      </c>
      <c r="E654" s="103">
        <f t="shared" si="100"/>
        <v>-83333.333333333328</v>
      </c>
      <c r="F654" s="53"/>
      <c r="G654" s="24">
        <f t="shared" si="97"/>
        <v>0</v>
      </c>
      <c r="H654" s="15"/>
      <c r="I654" s="15"/>
      <c r="J654" s="24">
        <f t="shared" si="98"/>
        <v>-83333.333333333328</v>
      </c>
      <c r="K654" s="51">
        <f>IF(L654=1,0,IF(SUM(K$635:K653)&gt;=Construction_Timeline,0,1))</f>
        <v>0</v>
      </c>
      <c r="L654" s="13">
        <f t="shared" si="101"/>
        <v>1</v>
      </c>
      <c r="M654" s="54">
        <f t="shared" si="102"/>
        <v>46600</v>
      </c>
      <c r="N654" s="7"/>
      <c r="O654" s="12"/>
      <c r="Q654" s="65"/>
      <c r="W654" s="3"/>
      <c r="X654" s="3"/>
    </row>
    <row r="655" spans="1:24" customFormat="1">
      <c r="A655" s="3"/>
      <c r="B655" s="7"/>
      <c r="C655" s="7">
        <v>20</v>
      </c>
      <c r="D655" s="24">
        <f t="shared" si="99"/>
        <v>0</v>
      </c>
      <c r="E655" s="103">
        <f t="shared" si="100"/>
        <v>-83333.333333333328</v>
      </c>
      <c r="F655" s="53"/>
      <c r="G655" s="24">
        <f t="shared" si="97"/>
        <v>0</v>
      </c>
      <c r="H655" s="15"/>
      <c r="I655" s="15"/>
      <c r="J655" s="24">
        <f t="shared" si="98"/>
        <v>-83333.333333333328</v>
      </c>
      <c r="K655" s="51">
        <f>IF(L655=1,0,IF(SUM(K$635:K654)&gt;=Construction_Timeline,0,1))</f>
        <v>0</v>
      </c>
      <c r="L655" s="13">
        <f t="shared" si="101"/>
        <v>1</v>
      </c>
      <c r="M655" s="54">
        <f t="shared" si="102"/>
        <v>46631</v>
      </c>
      <c r="N655" s="7"/>
      <c r="O655" s="12"/>
      <c r="Q655" s="65"/>
      <c r="W655" s="3"/>
      <c r="X655" s="3"/>
    </row>
    <row r="656" spans="1:24" customFormat="1">
      <c r="A656" s="3"/>
      <c r="B656" s="7"/>
      <c r="C656" s="7">
        <v>21</v>
      </c>
      <c r="D656" s="24">
        <f t="shared" si="99"/>
        <v>0</v>
      </c>
      <c r="E656" s="103">
        <f t="shared" si="100"/>
        <v>-83333.333333333328</v>
      </c>
      <c r="F656" s="53"/>
      <c r="G656" s="24">
        <f t="shared" si="97"/>
        <v>0</v>
      </c>
      <c r="H656" s="15"/>
      <c r="I656" s="15"/>
      <c r="J656" s="24">
        <f t="shared" si="98"/>
        <v>-83333.333333333328</v>
      </c>
      <c r="K656" s="51">
        <f>IF(L656=1,0,IF(SUM(K$635:K655)&gt;=Construction_Timeline,0,1))</f>
        <v>0</v>
      </c>
      <c r="L656" s="13">
        <f t="shared" si="101"/>
        <v>1</v>
      </c>
      <c r="M656" s="54">
        <f t="shared" si="102"/>
        <v>46661</v>
      </c>
      <c r="N656" s="7"/>
      <c r="O656" s="12"/>
      <c r="Q656" s="65"/>
      <c r="W656" s="3"/>
      <c r="X656" s="3"/>
    </row>
    <row r="657" spans="1:24" customFormat="1">
      <c r="A657" s="3"/>
      <c r="B657" s="7"/>
      <c r="C657" s="7">
        <v>22</v>
      </c>
      <c r="D657" s="24">
        <f t="shared" si="99"/>
        <v>0</v>
      </c>
      <c r="E657" s="103">
        <f t="shared" si="100"/>
        <v>-83333.333333333328</v>
      </c>
      <c r="F657" s="53"/>
      <c r="G657" s="24">
        <f t="shared" si="97"/>
        <v>0</v>
      </c>
      <c r="H657" s="15"/>
      <c r="I657" s="15"/>
      <c r="J657" s="24">
        <f t="shared" si="98"/>
        <v>-83333.333333333328</v>
      </c>
      <c r="K657" s="51">
        <f>IF(L657=1,0,IF(SUM(K$635:K656)&gt;=Construction_Timeline,0,1))</f>
        <v>0</v>
      </c>
      <c r="L657" s="13">
        <f t="shared" si="101"/>
        <v>1</v>
      </c>
      <c r="M657" s="54">
        <f t="shared" si="102"/>
        <v>46692</v>
      </c>
      <c r="N657" s="7"/>
      <c r="O657" s="12"/>
      <c r="Q657" s="65"/>
      <c r="W657" s="3"/>
      <c r="X657" s="3"/>
    </row>
    <row r="658" spans="1:24" customFormat="1">
      <c r="A658" s="3"/>
      <c r="B658" s="7"/>
      <c r="C658" s="7">
        <v>23</v>
      </c>
      <c r="D658" s="24">
        <f t="shared" si="99"/>
        <v>0</v>
      </c>
      <c r="E658" s="103">
        <f t="shared" si="100"/>
        <v>-83333.333333333328</v>
      </c>
      <c r="F658" s="53"/>
      <c r="G658" s="24">
        <f t="shared" si="97"/>
        <v>0</v>
      </c>
      <c r="H658" s="15"/>
      <c r="I658" s="15"/>
      <c r="J658" s="24">
        <f t="shared" si="98"/>
        <v>-83333.333333333328</v>
      </c>
      <c r="K658" s="51">
        <f>IF(L658=1,0,IF(SUM(K$635:K657)&gt;=Construction_Timeline,0,1))</f>
        <v>0</v>
      </c>
      <c r="L658" s="13">
        <f t="shared" si="101"/>
        <v>1</v>
      </c>
      <c r="M658" s="54">
        <f t="shared" si="102"/>
        <v>46722</v>
      </c>
      <c r="N658" s="7"/>
      <c r="O658" s="12"/>
      <c r="Q658" s="65"/>
      <c r="W658" s="3"/>
      <c r="X658" s="3"/>
    </row>
    <row r="659" spans="1:24" customFormat="1">
      <c r="A659" s="3"/>
      <c r="B659" s="7"/>
      <c r="C659" s="7">
        <v>24</v>
      </c>
      <c r="D659" s="24">
        <f t="shared" si="99"/>
        <v>0</v>
      </c>
      <c r="E659" s="103">
        <f t="shared" si="100"/>
        <v>-83333.333333333328</v>
      </c>
      <c r="F659" s="53"/>
      <c r="G659" s="24">
        <f t="shared" si="97"/>
        <v>0</v>
      </c>
      <c r="H659" s="15"/>
      <c r="I659" s="15"/>
      <c r="J659" s="24">
        <f t="shared" si="98"/>
        <v>-83333.333333333328</v>
      </c>
      <c r="K659" s="51">
        <f>IF(L659=1,0,IF(SUM(K$635:K658)&gt;=Construction_Timeline,0,1))</f>
        <v>0</v>
      </c>
      <c r="L659" s="13">
        <f t="shared" si="101"/>
        <v>1</v>
      </c>
      <c r="M659" s="54">
        <f t="shared" si="102"/>
        <v>46753</v>
      </c>
      <c r="N659" s="7"/>
      <c r="O659" s="12"/>
      <c r="Q659" s="65"/>
      <c r="W659" s="3"/>
      <c r="X659" s="3"/>
    </row>
    <row r="660" spans="1:24" customFormat="1">
      <c r="A660" s="3"/>
      <c r="B660" s="7"/>
      <c r="C660" s="7">
        <v>25</v>
      </c>
      <c r="D660" s="24">
        <f t="shared" si="99"/>
        <v>-1666666.6666666667</v>
      </c>
      <c r="E660" s="103">
        <f t="shared" si="100"/>
        <v>0</v>
      </c>
      <c r="F660" s="53"/>
      <c r="G660" s="24">
        <f t="shared" si="97"/>
        <v>0</v>
      </c>
      <c r="H660" s="15"/>
      <c r="I660" s="15"/>
      <c r="J660" s="24">
        <f t="shared" si="98"/>
        <v>-1666666.6666666667</v>
      </c>
      <c r="K660" s="51">
        <f>IF(L660=1,0,IF(SUM(K$635:K659)&gt;=Construction_Timeline,0,1))</f>
        <v>1</v>
      </c>
      <c r="L660" s="13">
        <f t="shared" si="101"/>
        <v>0</v>
      </c>
      <c r="M660" s="54">
        <f t="shared" si="102"/>
        <v>46784</v>
      </c>
      <c r="N660" s="7"/>
      <c r="O660" s="12"/>
      <c r="Q660" s="65"/>
      <c r="W660" s="3"/>
      <c r="X660" s="3"/>
    </row>
    <row r="661" spans="1:24" customFormat="1">
      <c r="A661" s="3"/>
      <c r="B661" s="7"/>
      <c r="C661" s="7">
        <v>26</v>
      </c>
      <c r="D661" s="24">
        <f t="shared" si="99"/>
        <v>-1666666.6666666667</v>
      </c>
      <c r="E661" s="103">
        <f t="shared" si="100"/>
        <v>0</v>
      </c>
      <c r="F661" s="53"/>
      <c r="G661" s="24">
        <f t="shared" si="97"/>
        <v>0</v>
      </c>
      <c r="H661" s="15"/>
      <c r="I661" s="15"/>
      <c r="J661" s="24">
        <f t="shared" si="98"/>
        <v>-1666666.6666666667</v>
      </c>
      <c r="K661" s="51">
        <f>IF(L661=1,0,IF(SUM(K$635:K660)&gt;=Construction_Timeline,0,1))</f>
        <v>1</v>
      </c>
      <c r="L661" s="13">
        <f t="shared" si="101"/>
        <v>0</v>
      </c>
      <c r="M661" s="54">
        <f t="shared" si="102"/>
        <v>46813</v>
      </c>
      <c r="N661" s="7"/>
      <c r="O661" s="12"/>
      <c r="Q661" s="65"/>
      <c r="W661" s="3"/>
      <c r="X661" s="3"/>
    </row>
    <row r="662" spans="1:24" customFormat="1">
      <c r="A662" s="3"/>
      <c r="B662" s="7"/>
      <c r="C662" s="7">
        <v>27</v>
      </c>
      <c r="D662" s="24">
        <f t="shared" si="99"/>
        <v>-1666666.6666666667</v>
      </c>
      <c r="E662" s="103">
        <f t="shared" si="100"/>
        <v>0</v>
      </c>
      <c r="F662" s="53"/>
      <c r="G662" s="24">
        <f t="shared" si="97"/>
        <v>0</v>
      </c>
      <c r="H662" s="15"/>
      <c r="I662" s="15"/>
      <c r="J662" s="24">
        <f t="shared" si="98"/>
        <v>-1666666.6666666667</v>
      </c>
      <c r="K662" s="51">
        <f>IF(L662=1,0,IF(SUM(K$635:K661)&gt;=Construction_Timeline,0,1))</f>
        <v>1</v>
      </c>
      <c r="L662" s="13">
        <f t="shared" si="101"/>
        <v>0</v>
      </c>
      <c r="M662" s="54">
        <f t="shared" si="102"/>
        <v>46844</v>
      </c>
      <c r="N662" s="7"/>
      <c r="O662" s="12"/>
      <c r="Q662" s="65"/>
      <c r="W662" s="3"/>
      <c r="X662" s="3"/>
    </row>
    <row r="663" spans="1:24" customFormat="1">
      <c r="A663" s="3"/>
      <c r="B663" s="7"/>
      <c r="C663" s="7">
        <v>28</v>
      </c>
      <c r="D663" s="24">
        <f t="shared" si="99"/>
        <v>-1666666.6666666667</v>
      </c>
      <c r="E663" s="103">
        <f t="shared" si="100"/>
        <v>0</v>
      </c>
      <c r="F663" s="53"/>
      <c r="G663" s="24">
        <f t="shared" si="97"/>
        <v>0</v>
      </c>
      <c r="H663" s="15"/>
      <c r="I663" s="15"/>
      <c r="J663" s="24">
        <f t="shared" si="98"/>
        <v>-1666666.6666666667</v>
      </c>
      <c r="K663" s="51">
        <f>IF(L663=1,0,IF(SUM(K$635:K662)&gt;=Construction_Timeline,0,1))</f>
        <v>1</v>
      </c>
      <c r="L663" s="13">
        <f t="shared" si="101"/>
        <v>0</v>
      </c>
      <c r="M663" s="54">
        <f t="shared" si="102"/>
        <v>46874</v>
      </c>
      <c r="N663" s="7"/>
      <c r="O663" s="12"/>
      <c r="Q663" s="65"/>
      <c r="W663" s="3"/>
      <c r="X663" s="3"/>
    </row>
    <row r="664" spans="1:24" customFormat="1">
      <c r="A664" s="3"/>
      <c r="B664" s="7"/>
      <c r="C664" s="7">
        <v>29</v>
      </c>
      <c r="D664" s="24">
        <f t="shared" si="99"/>
        <v>-1666666.6666666667</v>
      </c>
      <c r="E664" s="103">
        <f t="shared" si="100"/>
        <v>0</v>
      </c>
      <c r="F664" s="53"/>
      <c r="G664" s="24">
        <f t="shared" si="97"/>
        <v>0</v>
      </c>
      <c r="H664" s="15"/>
      <c r="I664" s="15"/>
      <c r="J664" s="24">
        <f t="shared" si="98"/>
        <v>-1666666.6666666667</v>
      </c>
      <c r="K664" s="51">
        <f>IF(L664=1,0,IF(SUM(K$635:K663)&gt;=Construction_Timeline,0,1))</f>
        <v>1</v>
      </c>
      <c r="L664" s="13">
        <f t="shared" si="101"/>
        <v>0</v>
      </c>
      <c r="M664" s="54">
        <f t="shared" si="102"/>
        <v>46905</v>
      </c>
      <c r="N664" s="7"/>
      <c r="O664" s="12"/>
      <c r="Q664" s="65"/>
      <c r="W664" s="3"/>
      <c r="X664" s="3"/>
    </row>
    <row r="665" spans="1:24" customFormat="1">
      <c r="A665" s="3"/>
      <c r="B665" s="7"/>
      <c r="C665" s="7">
        <v>30</v>
      </c>
      <c r="D665" s="24">
        <f t="shared" si="99"/>
        <v>-1666666.6666666667</v>
      </c>
      <c r="E665" s="103">
        <f t="shared" si="100"/>
        <v>0</v>
      </c>
      <c r="F665" s="53"/>
      <c r="G665" s="24">
        <f t="shared" si="97"/>
        <v>0</v>
      </c>
      <c r="H665" s="15"/>
      <c r="I665" s="15"/>
      <c r="J665" s="24">
        <f t="shared" si="98"/>
        <v>-1666666.6666666667</v>
      </c>
      <c r="K665" s="51">
        <f>IF(L665=1,0,IF(SUM(K$635:K664)&gt;=Construction_Timeline,0,1))</f>
        <v>1</v>
      </c>
      <c r="L665" s="13">
        <f t="shared" si="101"/>
        <v>0</v>
      </c>
      <c r="M665" s="54">
        <f t="shared" si="102"/>
        <v>46935</v>
      </c>
      <c r="N665" s="7"/>
      <c r="O665" s="12"/>
      <c r="Q665" s="65"/>
      <c r="W665" s="3"/>
      <c r="X665" s="3"/>
    </row>
    <row r="666" spans="1:24" customFormat="1">
      <c r="A666" s="3"/>
      <c r="B666" s="7"/>
      <c r="C666" s="7">
        <v>31</v>
      </c>
      <c r="D666" s="24">
        <f t="shared" si="99"/>
        <v>-1666666.6666666667</v>
      </c>
      <c r="E666" s="103">
        <f t="shared" si="100"/>
        <v>0</v>
      </c>
      <c r="F666" s="53"/>
      <c r="G666" s="24">
        <f t="shared" si="97"/>
        <v>0</v>
      </c>
      <c r="H666" s="15"/>
      <c r="I666" s="15"/>
      <c r="J666" s="24">
        <f t="shared" si="98"/>
        <v>-1666666.6666666667</v>
      </c>
      <c r="K666" s="51">
        <f>IF(L666=1,0,IF(SUM(K$635:K665)&gt;=Construction_Timeline,0,1))</f>
        <v>1</v>
      </c>
      <c r="L666" s="13">
        <f t="shared" si="101"/>
        <v>0</v>
      </c>
      <c r="M666" s="54">
        <f t="shared" si="102"/>
        <v>46966</v>
      </c>
      <c r="N666" s="7"/>
      <c r="O666" s="12"/>
      <c r="Q666" s="65"/>
      <c r="W666" s="3"/>
      <c r="X666" s="3"/>
    </row>
    <row r="667" spans="1:24" customFormat="1">
      <c r="A667" s="3"/>
      <c r="B667" s="7"/>
      <c r="C667" s="7">
        <v>32</v>
      </c>
      <c r="D667" s="24">
        <f t="shared" si="99"/>
        <v>-1666666.6666666667</v>
      </c>
      <c r="E667" s="103">
        <f t="shared" si="100"/>
        <v>0</v>
      </c>
      <c r="F667" s="53"/>
      <c r="G667" s="24">
        <f t="shared" ref="G667:G698" si="103">IF(C667=SUM(Month_of_Sale,PreDev_Timeline,Construction_Timeline),Incentive_Sales_Price*(1-D$64),0)</f>
        <v>0</v>
      </c>
      <c r="H667" s="15"/>
      <c r="I667" s="15"/>
      <c r="J667" s="24">
        <f t="shared" ref="J667:J698" si="104">SUM(D667:G667)</f>
        <v>-1666666.6666666667</v>
      </c>
      <c r="K667" s="51">
        <f>IF(L667=1,0,IF(SUM(K$635:K666)&gt;=Construction_Timeline,0,1))</f>
        <v>1</v>
      </c>
      <c r="L667" s="13">
        <f t="shared" si="101"/>
        <v>0</v>
      </c>
      <c r="M667" s="54">
        <f t="shared" si="102"/>
        <v>46997</v>
      </c>
      <c r="N667" s="7"/>
      <c r="O667" s="12"/>
      <c r="Q667" s="65"/>
      <c r="W667" s="3"/>
      <c r="X667" s="3"/>
    </row>
    <row r="668" spans="1:24" customFormat="1">
      <c r="A668" s="3"/>
      <c r="B668" s="7"/>
      <c r="C668" s="7">
        <v>33</v>
      </c>
      <c r="D668" s="24">
        <f t="shared" si="99"/>
        <v>-1666666.6666666667</v>
      </c>
      <c r="E668" s="103">
        <f t="shared" ref="E668:E699" si="105">-Incentive_Pre_Development_Costs/PreDev_Timeline*L668</f>
        <v>0</v>
      </c>
      <c r="F668" s="53"/>
      <c r="G668" s="24">
        <f t="shared" si="103"/>
        <v>0</v>
      </c>
      <c r="H668" s="15"/>
      <c r="I668" s="15"/>
      <c r="J668" s="24">
        <f t="shared" si="104"/>
        <v>-1666666.6666666667</v>
      </c>
      <c r="K668" s="51">
        <f>IF(L668=1,0,IF(SUM(K$635:K667)&gt;=Construction_Timeline,0,1))</f>
        <v>1</v>
      </c>
      <c r="L668" s="13">
        <f t="shared" ref="L668:L699" si="106">IF(C668&lt;=PreDev_Timeline,1,0)</f>
        <v>0</v>
      </c>
      <c r="M668" s="54">
        <f t="shared" si="102"/>
        <v>47027</v>
      </c>
      <c r="N668" s="7"/>
      <c r="O668" s="12"/>
      <c r="Q668" s="65"/>
      <c r="W668" s="3"/>
      <c r="X668" s="3"/>
    </row>
    <row r="669" spans="1:24" customFormat="1">
      <c r="A669" s="3"/>
      <c r="B669" s="7"/>
      <c r="C669" s="7">
        <v>34</v>
      </c>
      <c r="D669" s="24">
        <f t="shared" si="99"/>
        <v>-1666666.6666666667</v>
      </c>
      <c r="E669" s="103">
        <f t="shared" si="105"/>
        <v>0</v>
      </c>
      <c r="F669" s="53"/>
      <c r="G669" s="24">
        <f t="shared" si="103"/>
        <v>0</v>
      </c>
      <c r="H669" s="15"/>
      <c r="I669" s="15"/>
      <c r="J669" s="24">
        <f t="shared" si="104"/>
        <v>-1666666.6666666667</v>
      </c>
      <c r="K669" s="51">
        <f>IF(L669=1,0,IF(SUM(K$635:K668)&gt;=Construction_Timeline,0,1))</f>
        <v>1</v>
      </c>
      <c r="L669" s="13">
        <f t="shared" si="106"/>
        <v>0</v>
      </c>
      <c r="M669" s="54">
        <f t="shared" si="102"/>
        <v>47058</v>
      </c>
      <c r="N669" s="7"/>
      <c r="O669" s="12"/>
      <c r="Q669" s="65"/>
      <c r="W669" s="3"/>
      <c r="X669" s="3"/>
    </row>
    <row r="670" spans="1:24" customFormat="1">
      <c r="A670" s="3"/>
      <c r="B670" s="7"/>
      <c r="C670" s="7">
        <v>35</v>
      </c>
      <c r="D670" s="24">
        <f t="shared" si="99"/>
        <v>-1666666.6666666667</v>
      </c>
      <c r="E670" s="103">
        <f t="shared" si="105"/>
        <v>0</v>
      </c>
      <c r="F670" s="53"/>
      <c r="G670" s="24">
        <f t="shared" si="103"/>
        <v>0</v>
      </c>
      <c r="H670" s="15"/>
      <c r="I670" s="15"/>
      <c r="J670" s="24">
        <f t="shared" si="104"/>
        <v>-1666666.6666666667</v>
      </c>
      <c r="K670" s="51">
        <f>IF(L670=1,0,IF(SUM(K$635:K669)&gt;=Construction_Timeline,0,1))</f>
        <v>1</v>
      </c>
      <c r="L670" s="13">
        <f t="shared" si="106"/>
        <v>0</v>
      </c>
      <c r="M670" s="54">
        <f t="shared" si="102"/>
        <v>47088</v>
      </c>
      <c r="N670" s="7"/>
      <c r="O670" s="12"/>
      <c r="Q670" s="65"/>
      <c r="W670" s="3"/>
      <c r="X670" s="3"/>
    </row>
    <row r="671" spans="1:24" customFormat="1">
      <c r="A671" s="3"/>
      <c r="B671" s="7"/>
      <c r="C671" s="7">
        <v>36</v>
      </c>
      <c r="D671" s="24">
        <f t="shared" si="99"/>
        <v>-1666666.6666666667</v>
      </c>
      <c r="E671" s="103">
        <f t="shared" si="105"/>
        <v>0</v>
      </c>
      <c r="F671" s="53"/>
      <c r="G671" s="24">
        <f t="shared" si="103"/>
        <v>0</v>
      </c>
      <c r="H671" s="15"/>
      <c r="I671" s="15"/>
      <c r="J671" s="24">
        <f t="shared" si="104"/>
        <v>-1666666.6666666667</v>
      </c>
      <c r="K671" s="51">
        <f>IF(L671=1,0,IF(SUM(K$635:K670)&gt;=Construction_Timeline,0,1))</f>
        <v>1</v>
      </c>
      <c r="L671" s="13">
        <f t="shared" si="106"/>
        <v>0</v>
      </c>
      <c r="M671" s="54">
        <f t="shared" si="102"/>
        <v>47119</v>
      </c>
      <c r="N671" s="7"/>
      <c r="O671" s="12"/>
      <c r="Q671" s="65"/>
      <c r="W671" s="3"/>
      <c r="X671" s="3"/>
    </row>
    <row r="672" spans="1:24" customFormat="1">
      <c r="A672" s="3"/>
      <c r="B672" s="7"/>
      <c r="C672" s="7">
        <v>37</v>
      </c>
      <c r="D672" s="24">
        <f t="shared" si="99"/>
        <v>-1666666.6666666667</v>
      </c>
      <c r="E672" s="103">
        <f t="shared" si="105"/>
        <v>0</v>
      </c>
      <c r="F672" s="53"/>
      <c r="G672" s="24">
        <f t="shared" si="103"/>
        <v>0</v>
      </c>
      <c r="H672" s="15"/>
      <c r="I672" s="15"/>
      <c r="J672" s="24">
        <f t="shared" si="104"/>
        <v>-1666666.6666666667</v>
      </c>
      <c r="K672" s="51">
        <f>IF(L672=1,0,IF(SUM(K$635:K671)&gt;=Construction_Timeline,0,1))</f>
        <v>1</v>
      </c>
      <c r="L672" s="13">
        <f t="shared" si="106"/>
        <v>0</v>
      </c>
      <c r="M672" s="54">
        <f t="shared" si="102"/>
        <v>47150</v>
      </c>
      <c r="N672" s="7"/>
      <c r="O672" s="12"/>
      <c r="Q672" s="65"/>
      <c r="W672" s="3"/>
      <c r="X672" s="3"/>
    </row>
    <row r="673" spans="1:24" customFormat="1">
      <c r="A673" s="3"/>
      <c r="B673" s="7"/>
      <c r="C673" s="7">
        <v>38</v>
      </c>
      <c r="D673" s="24">
        <f t="shared" si="99"/>
        <v>-1666666.6666666667</v>
      </c>
      <c r="E673" s="103">
        <f t="shared" si="105"/>
        <v>0</v>
      </c>
      <c r="F673" s="53"/>
      <c r="G673" s="24">
        <f t="shared" si="103"/>
        <v>0</v>
      </c>
      <c r="H673" s="15"/>
      <c r="I673" s="15"/>
      <c r="J673" s="24">
        <f t="shared" si="104"/>
        <v>-1666666.6666666667</v>
      </c>
      <c r="K673" s="51">
        <f>IF(L673=1,0,IF(SUM(K$635:K672)&gt;=Construction_Timeline,0,1))</f>
        <v>1</v>
      </c>
      <c r="L673" s="13">
        <f t="shared" si="106"/>
        <v>0</v>
      </c>
      <c r="M673" s="54">
        <f t="shared" si="102"/>
        <v>47178</v>
      </c>
      <c r="N673" s="7"/>
      <c r="O673" s="12"/>
      <c r="Q673" s="65"/>
      <c r="W673" s="3"/>
      <c r="X673" s="3"/>
    </row>
    <row r="674" spans="1:24" customFormat="1">
      <c r="A674" s="3"/>
      <c r="B674" s="7"/>
      <c r="C674" s="7">
        <v>39</v>
      </c>
      <c r="D674" s="24">
        <f t="shared" si="99"/>
        <v>-1666666.6666666667</v>
      </c>
      <c r="E674" s="103">
        <f t="shared" si="105"/>
        <v>0</v>
      </c>
      <c r="F674" s="53"/>
      <c r="G674" s="24">
        <f t="shared" si="103"/>
        <v>0</v>
      </c>
      <c r="H674" s="15"/>
      <c r="I674" s="15"/>
      <c r="J674" s="24">
        <f t="shared" si="104"/>
        <v>-1666666.6666666667</v>
      </c>
      <c r="K674" s="51">
        <f>IF(L674=1,0,IF(SUM(K$635:K673)&gt;=Construction_Timeline,0,1))</f>
        <v>1</v>
      </c>
      <c r="L674" s="13">
        <f t="shared" si="106"/>
        <v>0</v>
      </c>
      <c r="M674" s="54">
        <f t="shared" si="102"/>
        <v>47209</v>
      </c>
      <c r="N674" s="7"/>
      <c r="O674" s="12"/>
      <c r="Q674" s="65"/>
      <c r="W674" s="3"/>
      <c r="X674" s="3"/>
    </row>
    <row r="675" spans="1:24" customFormat="1">
      <c r="A675" s="3"/>
      <c r="B675" s="7"/>
      <c r="C675" s="7">
        <v>40</v>
      </c>
      <c r="D675" s="24">
        <f t="shared" si="99"/>
        <v>-1666666.6666666667</v>
      </c>
      <c r="E675" s="103">
        <f t="shared" si="105"/>
        <v>0</v>
      </c>
      <c r="F675" s="53"/>
      <c r="G675" s="24">
        <f t="shared" si="103"/>
        <v>0</v>
      </c>
      <c r="H675" s="15"/>
      <c r="I675" s="15"/>
      <c r="J675" s="24">
        <f t="shared" si="104"/>
        <v>-1666666.6666666667</v>
      </c>
      <c r="K675" s="51">
        <f>IF(L675=1,0,IF(SUM(K$635:K674)&gt;=Construction_Timeline,0,1))</f>
        <v>1</v>
      </c>
      <c r="L675" s="13">
        <f t="shared" si="106"/>
        <v>0</v>
      </c>
      <c r="M675" s="54">
        <f t="shared" si="102"/>
        <v>47239</v>
      </c>
      <c r="N675" s="7"/>
      <c r="O675" s="12"/>
      <c r="Q675" s="65"/>
      <c r="W675" s="3"/>
      <c r="X675" s="3"/>
    </row>
    <row r="676" spans="1:24" customFormat="1">
      <c r="A676" s="3"/>
      <c r="B676" s="7"/>
      <c r="C676" s="7">
        <v>41</v>
      </c>
      <c r="D676" s="24">
        <f t="shared" si="99"/>
        <v>-1666666.6666666667</v>
      </c>
      <c r="E676" s="103">
        <f t="shared" si="105"/>
        <v>0</v>
      </c>
      <c r="F676" s="53"/>
      <c r="G676" s="24">
        <f t="shared" si="103"/>
        <v>0</v>
      </c>
      <c r="H676" s="15"/>
      <c r="I676" s="15"/>
      <c r="J676" s="24">
        <f t="shared" si="104"/>
        <v>-1666666.6666666667</v>
      </c>
      <c r="K676" s="51">
        <f>IF(L676=1,0,IF(SUM(K$635:K675)&gt;=Construction_Timeline,0,1))</f>
        <v>1</v>
      </c>
      <c r="L676" s="13">
        <f t="shared" si="106"/>
        <v>0</v>
      </c>
      <c r="M676" s="54">
        <f t="shared" si="102"/>
        <v>47270</v>
      </c>
      <c r="N676" s="7"/>
      <c r="O676" s="12"/>
      <c r="Q676" s="65"/>
      <c r="W676" s="3"/>
      <c r="X676" s="3"/>
    </row>
    <row r="677" spans="1:24" customFormat="1">
      <c r="A677" s="3"/>
      <c r="B677" s="7"/>
      <c r="C677" s="7">
        <v>42</v>
      </c>
      <c r="D677" s="24">
        <f t="shared" si="99"/>
        <v>-1666666.6666666667</v>
      </c>
      <c r="E677" s="103">
        <f t="shared" si="105"/>
        <v>0</v>
      </c>
      <c r="F677" s="53"/>
      <c r="G677" s="24">
        <f t="shared" si="103"/>
        <v>0</v>
      </c>
      <c r="H677" s="15"/>
      <c r="I677" s="15"/>
      <c r="J677" s="24">
        <f t="shared" si="104"/>
        <v>-1666666.6666666667</v>
      </c>
      <c r="K677" s="51">
        <f>IF(L677=1,0,IF(SUM(K$635:K676)&gt;=Construction_Timeline,0,1))</f>
        <v>1</v>
      </c>
      <c r="L677" s="13">
        <f t="shared" si="106"/>
        <v>0</v>
      </c>
      <c r="M677" s="54">
        <f t="shared" si="102"/>
        <v>47300</v>
      </c>
      <c r="N677" s="7"/>
      <c r="O677" s="12"/>
      <c r="Q677" s="65"/>
      <c r="W677" s="3"/>
      <c r="X677" s="3"/>
    </row>
    <row r="678" spans="1:24" customFormat="1">
      <c r="A678" s="3"/>
      <c r="B678" s="7"/>
      <c r="C678" s="7">
        <v>43</v>
      </c>
      <c r="D678" s="24">
        <f t="shared" si="99"/>
        <v>0</v>
      </c>
      <c r="E678" s="103">
        <f t="shared" si="105"/>
        <v>0</v>
      </c>
      <c r="F678" s="53"/>
      <c r="G678" s="24">
        <f t="shared" si="103"/>
        <v>0</v>
      </c>
      <c r="H678" s="15"/>
      <c r="I678" s="15"/>
      <c r="J678" s="24">
        <f t="shared" si="104"/>
        <v>0</v>
      </c>
      <c r="K678" s="51">
        <f>IF(L678=1,0,IF(SUM(K$635:K677)&gt;=Construction_Timeline,0,1))</f>
        <v>0</v>
      </c>
      <c r="L678" s="13">
        <f t="shared" si="106"/>
        <v>0</v>
      </c>
      <c r="M678" s="54">
        <f t="shared" si="102"/>
        <v>47331</v>
      </c>
      <c r="N678" s="7"/>
      <c r="O678" s="12"/>
      <c r="Q678" s="65"/>
      <c r="W678" s="3"/>
      <c r="X678" s="3"/>
    </row>
    <row r="679" spans="1:24" customFormat="1">
      <c r="A679" s="3"/>
      <c r="B679" s="7"/>
      <c r="C679" s="7">
        <v>44</v>
      </c>
      <c r="D679" s="24">
        <f t="shared" si="99"/>
        <v>0</v>
      </c>
      <c r="E679" s="103">
        <f t="shared" si="105"/>
        <v>0</v>
      </c>
      <c r="F679" s="53"/>
      <c r="G679" s="24">
        <f t="shared" si="103"/>
        <v>0</v>
      </c>
      <c r="H679" s="15"/>
      <c r="I679" s="15"/>
      <c r="J679" s="24">
        <f t="shared" si="104"/>
        <v>0</v>
      </c>
      <c r="K679" s="51">
        <f>IF(L679=1,0,IF(SUM(K$635:K678)&gt;=Construction_Timeline,0,1))</f>
        <v>0</v>
      </c>
      <c r="L679" s="13">
        <f t="shared" si="106"/>
        <v>0</v>
      </c>
      <c r="M679" s="54">
        <f t="shared" si="102"/>
        <v>47362</v>
      </c>
      <c r="N679" s="7"/>
      <c r="O679" s="12"/>
      <c r="Q679" s="65"/>
      <c r="W679" s="3"/>
      <c r="X679" s="3"/>
    </row>
    <row r="680" spans="1:24" customFormat="1">
      <c r="A680" s="3"/>
      <c r="B680" s="7"/>
      <c r="C680" s="7">
        <v>45</v>
      </c>
      <c r="D680" s="24">
        <f t="shared" si="99"/>
        <v>0</v>
      </c>
      <c r="E680" s="103">
        <f t="shared" si="105"/>
        <v>0</v>
      </c>
      <c r="F680" s="53"/>
      <c r="G680" s="24">
        <f t="shared" si="103"/>
        <v>0</v>
      </c>
      <c r="H680" s="15"/>
      <c r="I680" s="15"/>
      <c r="J680" s="24">
        <f t="shared" si="104"/>
        <v>0</v>
      </c>
      <c r="K680" s="51">
        <f>IF(L680=1,0,IF(SUM(K$635:K679)&gt;=Construction_Timeline,0,1))</f>
        <v>0</v>
      </c>
      <c r="L680" s="13">
        <f t="shared" si="106"/>
        <v>0</v>
      </c>
      <c r="M680" s="54">
        <f t="shared" si="102"/>
        <v>47392</v>
      </c>
      <c r="N680" s="7"/>
      <c r="O680" s="12"/>
      <c r="Q680" s="65"/>
      <c r="W680" s="3"/>
      <c r="X680" s="3"/>
    </row>
    <row r="681" spans="1:24" customFormat="1">
      <c r="A681" s="3"/>
      <c r="B681" s="7"/>
      <c r="C681" s="7">
        <v>46</v>
      </c>
      <c r="D681" s="24">
        <f t="shared" si="99"/>
        <v>0</v>
      </c>
      <c r="E681" s="103">
        <f t="shared" si="105"/>
        <v>0</v>
      </c>
      <c r="F681" s="53"/>
      <c r="G681" s="24">
        <f t="shared" si="103"/>
        <v>0</v>
      </c>
      <c r="H681" s="15"/>
      <c r="I681" s="15"/>
      <c r="J681" s="24">
        <f t="shared" si="104"/>
        <v>0</v>
      </c>
      <c r="K681" s="51">
        <f>IF(L681=1,0,IF(SUM(K$635:K680)&gt;=Construction_Timeline,0,1))</f>
        <v>0</v>
      </c>
      <c r="L681" s="13">
        <f t="shared" si="106"/>
        <v>0</v>
      </c>
      <c r="M681" s="54">
        <f t="shared" si="102"/>
        <v>47423</v>
      </c>
      <c r="N681" s="7"/>
      <c r="O681" s="12"/>
      <c r="Q681" s="65"/>
      <c r="W681" s="3"/>
      <c r="X681" s="3"/>
    </row>
    <row r="682" spans="1:24" customFormat="1">
      <c r="A682" s="3"/>
      <c r="B682" s="7"/>
      <c r="C682" s="7">
        <v>47</v>
      </c>
      <c r="D682" s="24">
        <f t="shared" si="99"/>
        <v>0</v>
      </c>
      <c r="E682" s="103">
        <f t="shared" si="105"/>
        <v>0</v>
      </c>
      <c r="F682" s="53"/>
      <c r="G682" s="24">
        <f t="shared" si="103"/>
        <v>0</v>
      </c>
      <c r="H682" s="15"/>
      <c r="I682" s="15"/>
      <c r="J682" s="24">
        <f t="shared" si="104"/>
        <v>0</v>
      </c>
      <c r="K682" s="51">
        <f>IF(L682=1,0,IF(SUM(K$635:K681)&gt;=Construction_Timeline,0,1))</f>
        <v>0</v>
      </c>
      <c r="L682" s="13">
        <f t="shared" si="106"/>
        <v>0</v>
      </c>
      <c r="M682" s="54">
        <f t="shared" si="102"/>
        <v>47453</v>
      </c>
      <c r="N682" s="7"/>
      <c r="O682" s="12"/>
      <c r="Q682" s="65"/>
      <c r="W682" s="3"/>
      <c r="X682" s="3"/>
    </row>
    <row r="683" spans="1:24" customFormat="1">
      <c r="A683" s="3"/>
      <c r="B683" s="7"/>
      <c r="C683" s="7">
        <v>48</v>
      </c>
      <c r="D683" s="24">
        <f t="shared" si="99"/>
        <v>0</v>
      </c>
      <c r="E683" s="103">
        <f t="shared" si="105"/>
        <v>0</v>
      </c>
      <c r="F683" s="53"/>
      <c r="G683" s="24">
        <f t="shared" si="103"/>
        <v>43650000</v>
      </c>
      <c r="H683" s="15"/>
      <c r="I683" s="15"/>
      <c r="J683" s="24">
        <f t="shared" si="104"/>
        <v>43650000</v>
      </c>
      <c r="K683" s="51">
        <f>IF(L683=1,0,IF(SUM(K$635:K682)&gt;=Construction_Timeline,0,1))</f>
        <v>0</v>
      </c>
      <c r="L683" s="13">
        <f t="shared" si="106"/>
        <v>0</v>
      </c>
      <c r="M683" s="54">
        <f t="shared" si="102"/>
        <v>47484</v>
      </c>
      <c r="N683" s="7"/>
      <c r="O683" s="12"/>
      <c r="Q683" s="65"/>
      <c r="W683" s="3"/>
      <c r="X683" s="3"/>
    </row>
    <row r="684" spans="1:24" customFormat="1">
      <c r="A684" s="3"/>
      <c r="B684" s="7"/>
      <c r="C684" s="7">
        <v>49</v>
      </c>
      <c r="D684" s="24">
        <f t="shared" si="99"/>
        <v>0</v>
      </c>
      <c r="E684" s="103">
        <f t="shared" si="105"/>
        <v>0</v>
      </c>
      <c r="F684" s="53"/>
      <c r="G684" s="24">
        <f t="shared" si="103"/>
        <v>0</v>
      </c>
      <c r="H684" s="15"/>
      <c r="I684" s="15"/>
      <c r="J684" s="24">
        <f t="shared" si="104"/>
        <v>0</v>
      </c>
      <c r="K684" s="51">
        <f>IF(L684=1,0,IF(SUM(K$635:K683)&gt;=Construction_Timeline,0,1))</f>
        <v>0</v>
      </c>
      <c r="L684" s="13">
        <f t="shared" si="106"/>
        <v>0</v>
      </c>
      <c r="M684" s="54">
        <f t="shared" si="102"/>
        <v>47515</v>
      </c>
      <c r="N684" s="7"/>
      <c r="O684" s="12"/>
      <c r="Q684" s="65"/>
      <c r="W684" s="3"/>
      <c r="X684" s="3"/>
    </row>
    <row r="685" spans="1:24" customFormat="1">
      <c r="A685" s="3"/>
      <c r="B685" s="7"/>
      <c r="C685" s="7">
        <v>50</v>
      </c>
      <c r="D685" s="24">
        <f t="shared" si="99"/>
        <v>0</v>
      </c>
      <c r="E685" s="103">
        <f t="shared" si="105"/>
        <v>0</v>
      </c>
      <c r="F685" s="53"/>
      <c r="G685" s="24">
        <f t="shared" si="103"/>
        <v>0</v>
      </c>
      <c r="H685" s="15"/>
      <c r="I685" s="15"/>
      <c r="J685" s="24">
        <f t="shared" si="104"/>
        <v>0</v>
      </c>
      <c r="K685" s="51">
        <f>IF(L685=1,0,IF(SUM(K$635:K684)&gt;=Construction_Timeline,0,1))</f>
        <v>0</v>
      </c>
      <c r="L685" s="13">
        <f t="shared" si="106"/>
        <v>0</v>
      </c>
      <c r="M685" s="54">
        <f t="shared" si="102"/>
        <v>47543</v>
      </c>
      <c r="N685" s="7"/>
      <c r="O685" s="12"/>
      <c r="Q685" s="65"/>
      <c r="W685" s="3"/>
      <c r="X685" s="3"/>
    </row>
    <row r="686" spans="1:24" customFormat="1">
      <c r="A686" s="3"/>
      <c r="B686" s="7"/>
      <c r="C686" s="7">
        <v>51</v>
      </c>
      <c r="D686" s="24">
        <f t="shared" si="99"/>
        <v>0</v>
      </c>
      <c r="E686" s="103">
        <f t="shared" si="105"/>
        <v>0</v>
      </c>
      <c r="F686" s="53"/>
      <c r="G686" s="24">
        <f t="shared" si="103"/>
        <v>0</v>
      </c>
      <c r="H686" s="15"/>
      <c r="I686" s="15"/>
      <c r="J686" s="24">
        <f t="shared" si="104"/>
        <v>0</v>
      </c>
      <c r="K686" s="51">
        <f>IF(L686=1,0,IF(SUM(K$635:K685)&gt;=Construction_Timeline,0,1))</f>
        <v>0</v>
      </c>
      <c r="L686" s="13">
        <f t="shared" si="106"/>
        <v>0</v>
      </c>
      <c r="M686" s="54">
        <f t="shared" si="102"/>
        <v>47574</v>
      </c>
      <c r="N686" s="7"/>
      <c r="O686" s="12"/>
      <c r="Q686" s="65"/>
      <c r="W686" s="3"/>
      <c r="X686" s="3"/>
    </row>
    <row r="687" spans="1:24" customFormat="1">
      <c r="A687" s="3"/>
      <c r="B687" s="7"/>
      <c r="C687" s="7">
        <v>52</v>
      </c>
      <c r="D687" s="24">
        <f t="shared" si="99"/>
        <v>0</v>
      </c>
      <c r="E687" s="103">
        <f t="shared" si="105"/>
        <v>0</v>
      </c>
      <c r="F687" s="53"/>
      <c r="G687" s="24">
        <f t="shared" si="103"/>
        <v>0</v>
      </c>
      <c r="H687" s="15"/>
      <c r="I687" s="15"/>
      <c r="J687" s="24">
        <f t="shared" si="104"/>
        <v>0</v>
      </c>
      <c r="K687" s="51">
        <f>IF(L687=1,0,IF(SUM(K$635:K686)&gt;=Construction_Timeline,0,1))</f>
        <v>0</v>
      </c>
      <c r="L687" s="13">
        <f t="shared" si="106"/>
        <v>0</v>
      </c>
      <c r="M687" s="54">
        <f t="shared" si="102"/>
        <v>47604</v>
      </c>
      <c r="N687" s="7"/>
      <c r="O687" s="12"/>
      <c r="Q687" s="65"/>
      <c r="W687" s="3"/>
      <c r="X687" s="3"/>
    </row>
    <row r="688" spans="1:24" customFormat="1">
      <c r="A688" s="3"/>
      <c r="B688" s="7"/>
      <c r="C688" s="7">
        <v>53</v>
      </c>
      <c r="D688" s="24">
        <f t="shared" si="99"/>
        <v>0</v>
      </c>
      <c r="E688" s="103">
        <f t="shared" si="105"/>
        <v>0</v>
      </c>
      <c r="F688" s="53"/>
      <c r="G688" s="24">
        <f t="shared" si="103"/>
        <v>0</v>
      </c>
      <c r="H688" s="15"/>
      <c r="I688" s="15"/>
      <c r="J688" s="24">
        <f t="shared" si="104"/>
        <v>0</v>
      </c>
      <c r="K688" s="51">
        <f>IF(L688=1,0,IF(SUM(K$635:K687)&gt;=Construction_Timeline,0,1))</f>
        <v>0</v>
      </c>
      <c r="L688" s="13">
        <f t="shared" si="106"/>
        <v>0</v>
      </c>
      <c r="M688" s="54">
        <f t="shared" si="102"/>
        <v>47635</v>
      </c>
      <c r="N688" s="7"/>
      <c r="O688" s="12"/>
      <c r="Q688" s="65"/>
      <c r="W688" s="3"/>
      <c r="X688" s="3"/>
    </row>
    <row r="689" spans="1:24" customFormat="1">
      <c r="A689" s="3"/>
      <c r="B689" s="7"/>
      <c r="C689" s="7">
        <v>54</v>
      </c>
      <c r="D689" s="24">
        <f t="shared" si="99"/>
        <v>0</v>
      </c>
      <c r="E689" s="103">
        <f t="shared" si="105"/>
        <v>0</v>
      </c>
      <c r="F689" s="53"/>
      <c r="G689" s="24">
        <f t="shared" si="103"/>
        <v>0</v>
      </c>
      <c r="H689" s="15"/>
      <c r="I689" s="15"/>
      <c r="J689" s="24">
        <f t="shared" si="104"/>
        <v>0</v>
      </c>
      <c r="K689" s="51">
        <f>IF(L689=1,0,IF(SUM(K$635:K688)&gt;=Construction_Timeline,0,1))</f>
        <v>0</v>
      </c>
      <c r="L689" s="13">
        <f t="shared" si="106"/>
        <v>0</v>
      </c>
      <c r="M689" s="54">
        <f t="shared" si="102"/>
        <v>47665</v>
      </c>
      <c r="N689" s="7"/>
      <c r="O689" s="12"/>
      <c r="Q689" s="65"/>
      <c r="W689" s="3"/>
      <c r="X689" s="3"/>
    </row>
    <row r="690" spans="1:24" customFormat="1">
      <c r="A690" s="3"/>
      <c r="B690" s="7"/>
      <c r="C690" s="7">
        <v>55</v>
      </c>
      <c r="D690" s="24">
        <f t="shared" si="99"/>
        <v>0</v>
      </c>
      <c r="E690" s="103">
        <f t="shared" si="105"/>
        <v>0</v>
      </c>
      <c r="F690" s="53"/>
      <c r="G690" s="24">
        <f t="shared" si="103"/>
        <v>0</v>
      </c>
      <c r="H690" s="15"/>
      <c r="I690" s="15"/>
      <c r="J690" s="24">
        <f t="shared" si="104"/>
        <v>0</v>
      </c>
      <c r="K690" s="51">
        <f>IF(L690=1,0,IF(SUM(K$635:K689)&gt;=Construction_Timeline,0,1))</f>
        <v>0</v>
      </c>
      <c r="L690" s="13">
        <f t="shared" si="106"/>
        <v>0</v>
      </c>
      <c r="M690" s="54">
        <f t="shared" si="102"/>
        <v>47696</v>
      </c>
      <c r="N690" s="7"/>
      <c r="O690" s="12"/>
      <c r="Q690" s="65"/>
      <c r="W690" s="3"/>
      <c r="X690" s="3"/>
    </row>
    <row r="691" spans="1:24" customFormat="1">
      <c r="A691" s="3"/>
      <c r="B691" s="7"/>
      <c r="C691" s="7">
        <v>56</v>
      </c>
      <c r="D691" s="24">
        <f t="shared" si="99"/>
        <v>0</v>
      </c>
      <c r="E691" s="103">
        <f t="shared" si="105"/>
        <v>0</v>
      </c>
      <c r="F691" s="53"/>
      <c r="G691" s="24">
        <f t="shared" si="103"/>
        <v>0</v>
      </c>
      <c r="H691" s="15"/>
      <c r="I691" s="15"/>
      <c r="J691" s="24">
        <f t="shared" si="104"/>
        <v>0</v>
      </c>
      <c r="K691" s="51">
        <f>IF(L691=1,0,IF(SUM(K$635:K690)&gt;=Construction_Timeline,0,1))</f>
        <v>0</v>
      </c>
      <c r="L691" s="13">
        <f t="shared" si="106"/>
        <v>0</v>
      </c>
      <c r="M691" s="54">
        <f t="shared" si="102"/>
        <v>47727</v>
      </c>
      <c r="N691" s="7"/>
      <c r="O691" s="12"/>
      <c r="Q691" s="65"/>
      <c r="W691" s="3"/>
      <c r="X691" s="3"/>
    </row>
    <row r="692" spans="1:24" customFormat="1">
      <c r="A692" s="3"/>
      <c r="B692" s="7"/>
      <c r="C692" s="7">
        <v>57</v>
      </c>
      <c r="D692" s="24">
        <f t="shared" si="99"/>
        <v>0</v>
      </c>
      <c r="E692" s="103">
        <f t="shared" si="105"/>
        <v>0</v>
      </c>
      <c r="F692" s="53"/>
      <c r="G692" s="24">
        <f t="shared" si="103"/>
        <v>0</v>
      </c>
      <c r="H692" s="15"/>
      <c r="I692" s="15"/>
      <c r="J692" s="24">
        <f t="shared" si="104"/>
        <v>0</v>
      </c>
      <c r="K692" s="51">
        <f>IF(L692=1,0,IF(SUM(K$635:K691)&gt;=Construction_Timeline,0,1))</f>
        <v>0</v>
      </c>
      <c r="L692" s="13">
        <f t="shared" si="106"/>
        <v>0</v>
      </c>
      <c r="M692" s="54">
        <f t="shared" si="102"/>
        <v>47757</v>
      </c>
      <c r="N692" s="7"/>
      <c r="O692" s="12"/>
      <c r="Q692" s="65"/>
      <c r="W692" s="3"/>
      <c r="X692" s="3"/>
    </row>
    <row r="693" spans="1:24" customFormat="1">
      <c r="A693" s="3"/>
      <c r="B693" s="7"/>
      <c r="C693" s="7">
        <v>58</v>
      </c>
      <c r="D693" s="24">
        <f t="shared" si="99"/>
        <v>0</v>
      </c>
      <c r="E693" s="103">
        <f t="shared" si="105"/>
        <v>0</v>
      </c>
      <c r="F693" s="53"/>
      <c r="G693" s="24">
        <f t="shared" si="103"/>
        <v>0</v>
      </c>
      <c r="H693" s="15"/>
      <c r="I693" s="15"/>
      <c r="J693" s="24">
        <f t="shared" si="104"/>
        <v>0</v>
      </c>
      <c r="K693" s="51">
        <f>IF(L693=1,0,IF(SUM(K$635:K692)&gt;=Construction_Timeline,0,1))</f>
        <v>0</v>
      </c>
      <c r="L693" s="13">
        <f t="shared" si="106"/>
        <v>0</v>
      </c>
      <c r="M693" s="54">
        <f t="shared" si="102"/>
        <v>47788</v>
      </c>
      <c r="N693" s="7"/>
      <c r="O693" s="12"/>
      <c r="Q693" s="65"/>
      <c r="W693" s="3"/>
      <c r="X693" s="3"/>
    </row>
    <row r="694" spans="1:24" customFormat="1">
      <c r="A694" s="3"/>
      <c r="B694" s="7"/>
      <c r="C694" s="7">
        <v>59</v>
      </c>
      <c r="D694" s="24">
        <f t="shared" si="99"/>
        <v>0</v>
      </c>
      <c r="E694" s="103">
        <f t="shared" si="105"/>
        <v>0</v>
      </c>
      <c r="F694" s="53"/>
      <c r="G694" s="24">
        <f t="shared" si="103"/>
        <v>0</v>
      </c>
      <c r="H694" s="15"/>
      <c r="I694" s="15"/>
      <c r="J694" s="24">
        <f t="shared" si="104"/>
        <v>0</v>
      </c>
      <c r="K694" s="51">
        <f>IF(L694=1,0,IF(SUM(K$635:K693)&gt;=Construction_Timeline,0,1))</f>
        <v>0</v>
      </c>
      <c r="L694" s="13">
        <f t="shared" si="106"/>
        <v>0</v>
      </c>
      <c r="M694" s="54">
        <f t="shared" si="102"/>
        <v>47818</v>
      </c>
      <c r="N694" s="7"/>
      <c r="O694" s="12"/>
      <c r="Q694" s="65"/>
      <c r="W694" s="3"/>
      <c r="X694" s="3"/>
    </row>
    <row r="695" spans="1:24" customFormat="1">
      <c r="A695" s="3"/>
      <c r="B695" s="7"/>
      <c r="C695" s="7">
        <v>60</v>
      </c>
      <c r="D695" s="24">
        <f t="shared" si="99"/>
        <v>0</v>
      </c>
      <c r="E695" s="103">
        <f t="shared" si="105"/>
        <v>0</v>
      </c>
      <c r="F695" s="53"/>
      <c r="G695" s="24">
        <f t="shared" si="103"/>
        <v>0</v>
      </c>
      <c r="H695" s="15"/>
      <c r="I695" s="15"/>
      <c r="J695" s="24">
        <f t="shared" si="104"/>
        <v>0</v>
      </c>
      <c r="K695" s="51">
        <f>IF(L695=1,0,IF(SUM(K$635:K694)&gt;=Construction_Timeline,0,1))</f>
        <v>0</v>
      </c>
      <c r="L695" s="13">
        <f t="shared" si="106"/>
        <v>0</v>
      </c>
      <c r="M695" s="54">
        <f t="shared" si="102"/>
        <v>47849</v>
      </c>
      <c r="N695" s="7"/>
      <c r="O695" s="12"/>
      <c r="Q695" s="65"/>
      <c r="W695" s="3"/>
      <c r="X695" s="3"/>
    </row>
    <row r="696" spans="1:24" customFormat="1">
      <c r="A696" s="3"/>
      <c r="B696" s="7"/>
      <c r="C696" s="7">
        <v>61</v>
      </c>
      <c r="D696" s="24">
        <f t="shared" si="99"/>
        <v>0</v>
      </c>
      <c r="E696" s="103">
        <f t="shared" si="105"/>
        <v>0</v>
      </c>
      <c r="F696" s="53"/>
      <c r="G696" s="24">
        <f t="shared" si="103"/>
        <v>0</v>
      </c>
      <c r="H696" s="15"/>
      <c r="I696" s="15"/>
      <c r="J696" s="24">
        <f t="shared" si="104"/>
        <v>0</v>
      </c>
      <c r="K696" s="51">
        <f>IF(L696=1,0,IF(SUM(K$635:K695)&gt;=Construction_Timeline,0,1))</f>
        <v>0</v>
      </c>
      <c r="L696" s="13">
        <f t="shared" si="106"/>
        <v>0</v>
      </c>
      <c r="M696" s="54">
        <f t="shared" si="102"/>
        <v>47880</v>
      </c>
      <c r="N696" s="7"/>
      <c r="O696" s="12"/>
      <c r="Q696" s="65"/>
      <c r="W696" s="3"/>
      <c r="X696" s="3"/>
    </row>
    <row r="697" spans="1:24" customFormat="1">
      <c r="A697" s="3"/>
      <c r="B697" s="7"/>
      <c r="C697" s="7">
        <v>62</v>
      </c>
      <c r="D697" s="24">
        <f t="shared" si="99"/>
        <v>0</v>
      </c>
      <c r="E697" s="103">
        <f t="shared" si="105"/>
        <v>0</v>
      </c>
      <c r="F697" s="53"/>
      <c r="G697" s="24">
        <f t="shared" si="103"/>
        <v>0</v>
      </c>
      <c r="H697" s="15"/>
      <c r="I697" s="15"/>
      <c r="J697" s="24">
        <f t="shared" si="104"/>
        <v>0</v>
      </c>
      <c r="K697" s="51">
        <f>IF(L697=1,0,IF(SUM(K$635:K696)&gt;=Construction_Timeline,0,1))</f>
        <v>0</v>
      </c>
      <c r="L697" s="13">
        <f t="shared" si="106"/>
        <v>0</v>
      </c>
      <c r="M697" s="54">
        <f t="shared" si="102"/>
        <v>47908</v>
      </c>
      <c r="N697" s="7"/>
      <c r="O697" s="12"/>
      <c r="Q697" s="65"/>
      <c r="W697" s="3"/>
      <c r="X697" s="3"/>
    </row>
    <row r="698" spans="1:24" customFormat="1">
      <c r="A698" s="3"/>
      <c r="B698" s="7"/>
      <c r="C698" s="7">
        <v>63</v>
      </c>
      <c r="D698" s="24">
        <f t="shared" si="99"/>
        <v>0</v>
      </c>
      <c r="E698" s="103">
        <f t="shared" si="105"/>
        <v>0</v>
      </c>
      <c r="F698" s="53"/>
      <c r="G698" s="24">
        <f t="shared" si="103"/>
        <v>0</v>
      </c>
      <c r="H698" s="15"/>
      <c r="I698" s="15"/>
      <c r="J698" s="24">
        <f t="shared" si="104"/>
        <v>0</v>
      </c>
      <c r="K698" s="51">
        <f>IF(L698=1,0,IF(SUM(K$635:K697)&gt;=Construction_Timeline,0,1))</f>
        <v>0</v>
      </c>
      <c r="L698" s="13">
        <f t="shared" si="106"/>
        <v>0</v>
      </c>
      <c r="M698" s="54">
        <f t="shared" si="102"/>
        <v>47939</v>
      </c>
      <c r="N698" s="7"/>
      <c r="O698" s="12"/>
      <c r="Q698" s="65"/>
      <c r="W698" s="3"/>
      <c r="X698" s="3"/>
    </row>
    <row r="699" spans="1:24" customFormat="1">
      <c r="A699" s="3"/>
      <c r="B699" s="7"/>
      <c r="C699" s="7">
        <v>64</v>
      </c>
      <c r="D699" s="24">
        <f t="shared" ref="D699:D762" si="107">IF(K699=1,-Construction_Costs/Construction_Timeline,0)</f>
        <v>0</v>
      </c>
      <c r="E699" s="103">
        <f t="shared" si="105"/>
        <v>0</v>
      </c>
      <c r="F699" s="53"/>
      <c r="G699" s="24">
        <f t="shared" ref="G699:G730" si="108">IF(C699=SUM(Month_of_Sale,PreDev_Timeline,Construction_Timeline),Incentive_Sales_Price*(1-D$64),0)</f>
        <v>0</v>
      </c>
      <c r="H699" s="15"/>
      <c r="I699" s="15"/>
      <c r="J699" s="24">
        <f t="shared" ref="J699:J730" si="109">SUM(D699:G699)</f>
        <v>0</v>
      </c>
      <c r="K699" s="51">
        <f>IF(L699=1,0,IF(SUM(K$635:K698)&gt;=Construction_Timeline,0,1))</f>
        <v>0</v>
      </c>
      <c r="L699" s="13">
        <f t="shared" si="106"/>
        <v>0</v>
      </c>
      <c r="M699" s="54">
        <f t="shared" si="102"/>
        <v>47969</v>
      </c>
      <c r="N699" s="7"/>
      <c r="O699" s="12"/>
      <c r="Q699" s="65"/>
      <c r="W699" s="3"/>
      <c r="X699" s="3"/>
    </row>
    <row r="700" spans="1:24" customFormat="1">
      <c r="A700" s="3"/>
      <c r="B700" s="7"/>
      <c r="C700" s="7">
        <v>65</v>
      </c>
      <c r="D700" s="24">
        <f t="shared" si="107"/>
        <v>0</v>
      </c>
      <c r="E700" s="103">
        <f t="shared" ref="E700:E731" si="110">-Incentive_Pre_Development_Costs/PreDev_Timeline*L700</f>
        <v>0</v>
      </c>
      <c r="F700" s="53"/>
      <c r="G700" s="24">
        <f t="shared" si="108"/>
        <v>0</v>
      </c>
      <c r="H700" s="15"/>
      <c r="I700" s="15"/>
      <c r="J700" s="24">
        <f t="shared" si="109"/>
        <v>0</v>
      </c>
      <c r="K700" s="51">
        <f>IF(L700=1,0,IF(SUM(K$635:K699)&gt;=Construction_Timeline,0,1))</f>
        <v>0</v>
      </c>
      <c r="L700" s="13">
        <f t="shared" ref="L700:L731" si="111">IF(C700&lt;=PreDev_Timeline,1,0)</f>
        <v>0</v>
      </c>
      <c r="M700" s="54">
        <f t="shared" si="102"/>
        <v>48000</v>
      </c>
      <c r="N700" s="7"/>
      <c r="O700" s="12"/>
      <c r="Q700" s="65"/>
      <c r="W700" s="3"/>
      <c r="X700" s="3"/>
    </row>
    <row r="701" spans="1:24" customFormat="1">
      <c r="A701" s="3"/>
      <c r="B701" s="7"/>
      <c r="C701" s="7">
        <v>66</v>
      </c>
      <c r="D701" s="24">
        <f t="shared" si="107"/>
        <v>0</v>
      </c>
      <c r="E701" s="103">
        <f t="shared" si="110"/>
        <v>0</v>
      </c>
      <c r="F701" s="53"/>
      <c r="G701" s="24">
        <f t="shared" si="108"/>
        <v>0</v>
      </c>
      <c r="H701" s="15"/>
      <c r="I701" s="15"/>
      <c r="J701" s="24">
        <f t="shared" si="109"/>
        <v>0</v>
      </c>
      <c r="K701" s="51">
        <f>IF(L701=1,0,IF(SUM(K$635:K700)&gt;=Construction_Timeline,0,1))</f>
        <v>0</v>
      </c>
      <c r="L701" s="13">
        <f t="shared" si="111"/>
        <v>0</v>
      </c>
      <c r="M701" s="54">
        <f t="shared" ref="M701:M764" si="112">EDATE(M700,1)</f>
        <v>48030</v>
      </c>
      <c r="N701" s="7"/>
      <c r="O701" s="12"/>
      <c r="Q701" s="65"/>
      <c r="W701" s="3"/>
      <c r="X701" s="3"/>
    </row>
    <row r="702" spans="1:24" customFormat="1">
      <c r="A702" s="3"/>
      <c r="B702" s="7"/>
      <c r="C702" s="7">
        <v>67</v>
      </c>
      <c r="D702" s="24">
        <f t="shared" si="107"/>
        <v>0</v>
      </c>
      <c r="E702" s="103">
        <f t="shared" si="110"/>
        <v>0</v>
      </c>
      <c r="F702" s="53"/>
      <c r="G702" s="24">
        <f t="shared" si="108"/>
        <v>0</v>
      </c>
      <c r="H702" s="15"/>
      <c r="I702" s="15"/>
      <c r="J702" s="24">
        <f t="shared" si="109"/>
        <v>0</v>
      </c>
      <c r="K702" s="51">
        <f>IF(L702=1,0,IF(SUM(K$635:K701)&gt;=Construction_Timeline,0,1))</f>
        <v>0</v>
      </c>
      <c r="L702" s="13">
        <f t="shared" si="111"/>
        <v>0</v>
      </c>
      <c r="M702" s="54">
        <f t="shared" si="112"/>
        <v>48061</v>
      </c>
      <c r="N702" s="7"/>
      <c r="O702" s="12"/>
      <c r="Q702" s="65"/>
      <c r="W702" s="3"/>
      <c r="X702" s="3"/>
    </row>
    <row r="703" spans="1:24" customFormat="1">
      <c r="A703" s="3"/>
      <c r="B703" s="7"/>
      <c r="C703" s="7">
        <v>68</v>
      </c>
      <c r="D703" s="24">
        <f t="shared" si="107"/>
        <v>0</v>
      </c>
      <c r="E703" s="103">
        <f t="shared" si="110"/>
        <v>0</v>
      </c>
      <c r="F703" s="53"/>
      <c r="G703" s="24">
        <f t="shared" si="108"/>
        <v>0</v>
      </c>
      <c r="H703" s="15"/>
      <c r="I703" s="15"/>
      <c r="J703" s="24">
        <f t="shared" si="109"/>
        <v>0</v>
      </c>
      <c r="K703" s="51">
        <f>IF(L703=1,0,IF(SUM(K$635:K702)&gt;=Construction_Timeline,0,1))</f>
        <v>0</v>
      </c>
      <c r="L703" s="13">
        <f t="shared" si="111"/>
        <v>0</v>
      </c>
      <c r="M703" s="54">
        <f t="shared" si="112"/>
        <v>48092</v>
      </c>
      <c r="N703" s="7"/>
      <c r="O703" s="12"/>
      <c r="Q703" s="65"/>
      <c r="W703" s="3"/>
      <c r="X703" s="3"/>
    </row>
    <row r="704" spans="1:24" customFormat="1">
      <c r="A704" s="3"/>
      <c r="B704" s="7"/>
      <c r="C704" s="7">
        <v>69</v>
      </c>
      <c r="D704" s="24">
        <f t="shared" si="107"/>
        <v>0</v>
      </c>
      <c r="E704" s="103">
        <f t="shared" si="110"/>
        <v>0</v>
      </c>
      <c r="F704" s="53"/>
      <c r="G704" s="24">
        <f t="shared" si="108"/>
        <v>0</v>
      </c>
      <c r="H704" s="15"/>
      <c r="I704" s="15"/>
      <c r="J704" s="24">
        <f t="shared" si="109"/>
        <v>0</v>
      </c>
      <c r="K704" s="51">
        <f>IF(L704=1,0,IF(SUM(K$635:K703)&gt;=Construction_Timeline,0,1))</f>
        <v>0</v>
      </c>
      <c r="L704" s="13">
        <f t="shared" si="111"/>
        <v>0</v>
      </c>
      <c r="M704" s="54">
        <f t="shared" si="112"/>
        <v>48122</v>
      </c>
      <c r="N704" s="7"/>
      <c r="O704" s="12"/>
      <c r="Q704" s="65"/>
      <c r="W704" s="3"/>
      <c r="X704" s="3"/>
    </row>
    <row r="705" spans="1:24" customFormat="1">
      <c r="A705" s="3"/>
      <c r="B705" s="7"/>
      <c r="C705" s="7">
        <v>70</v>
      </c>
      <c r="D705" s="24">
        <f t="shared" si="107"/>
        <v>0</v>
      </c>
      <c r="E705" s="103">
        <f t="shared" si="110"/>
        <v>0</v>
      </c>
      <c r="F705" s="53"/>
      <c r="G705" s="24">
        <f t="shared" si="108"/>
        <v>0</v>
      </c>
      <c r="H705" s="15"/>
      <c r="I705" s="15"/>
      <c r="J705" s="24">
        <f t="shared" si="109"/>
        <v>0</v>
      </c>
      <c r="K705" s="51">
        <f>IF(L705=1,0,IF(SUM(K$635:K704)&gt;=Construction_Timeline,0,1))</f>
        <v>0</v>
      </c>
      <c r="L705" s="13">
        <f t="shared" si="111"/>
        <v>0</v>
      </c>
      <c r="M705" s="54">
        <f t="shared" si="112"/>
        <v>48153</v>
      </c>
      <c r="N705" s="7"/>
      <c r="O705" s="12"/>
      <c r="Q705" s="65"/>
      <c r="W705" s="3"/>
      <c r="X705" s="3"/>
    </row>
    <row r="706" spans="1:24" customFormat="1">
      <c r="A706" s="3"/>
      <c r="B706" s="7"/>
      <c r="C706" s="7">
        <v>71</v>
      </c>
      <c r="D706" s="24">
        <f t="shared" si="107"/>
        <v>0</v>
      </c>
      <c r="E706" s="103">
        <f t="shared" si="110"/>
        <v>0</v>
      </c>
      <c r="F706" s="53"/>
      <c r="G706" s="24">
        <f t="shared" si="108"/>
        <v>0</v>
      </c>
      <c r="H706" s="15"/>
      <c r="I706" s="15"/>
      <c r="J706" s="24">
        <f t="shared" si="109"/>
        <v>0</v>
      </c>
      <c r="K706" s="51">
        <f>IF(L706=1,0,IF(SUM(K$635:K705)&gt;=Construction_Timeline,0,1))</f>
        <v>0</v>
      </c>
      <c r="L706" s="13">
        <f t="shared" si="111"/>
        <v>0</v>
      </c>
      <c r="M706" s="54">
        <f t="shared" si="112"/>
        <v>48183</v>
      </c>
      <c r="N706" s="7"/>
      <c r="O706" s="12"/>
      <c r="Q706" s="65"/>
      <c r="W706" s="3"/>
      <c r="X706" s="3"/>
    </row>
    <row r="707" spans="1:24" customFormat="1">
      <c r="A707" s="3"/>
      <c r="B707" s="7"/>
      <c r="C707" s="7">
        <v>72</v>
      </c>
      <c r="D707" s="24">
        <f t="shared" si="107"/>
        <v>0</v>
      </c>
      <c r="E707" s="103">
        <f t="shared" si="110"/>
        <v>0</v>
      </c>
      <c r="F707" s="53"/>
      <c r="G707" s="24">
        <f t="shared" si="108"/>
        <v>0</v>
      </c>
      <c r="H707" s="15"/>
      <c r="I707" s="15"/>
      <c r="J707" s="24">
        <f t="shared" si="109"/>
        <v>0</v>
      </c>
      <c r="K707" s="51">
        <f>IF(L707=1,0,IF(SUM(K$635:K706)&gt;=Construction_Timeline,0,1))</f>
        <v>0</v>
      </c>
      <c r="L707" s="13">
        <f t="shared" si="111"/>
        <v>0</v>
      </c>
      <c r="M707" s="54">
        <f t="shared" si="112"/>
        <v>48214</v>
      </c>
      <c r="N707" s="7"/>
      <c r="O707" s="12"/>
      <c r="Q707" s="65"/>
      <c r="W707" s="3"/>
      <c r="X707" s="3"/>
    </row>
    <row r="708" spans="1:24" customFormat="1">
      <c r="A708" s="3"/>
      <c r="B708" s="7"/>
      <c r="C708" s="7">
        <v>73</v>
      </c>
      <c r="D708" s="24">
        <f t="shared" si="107"/>
        <v>0</v>
      </c>
      <c r="E708" s="103">
        <f t="shared" si="110"/>
        <v>0</v>
      </c>
      <c r="F708" s="53"/>
      <c r="G708" s="24">
        <f t="shared" si="108"/>
        <v>0</v>
      </c>
      <c r="H708" s="15"/>
      <c r="I708" s="15"/>
      <c r="J708" s="24">
        <f t="shared" si="109"/>
        <v>0</v>
      </c>
      <c r="K708" s="51">
        <f>IF(L708=1,0,IF(SUM(K$635:K707)&gt;=Construction_Timeline,0,1))</f>
        <v>0</v>
      </c>
      <c r="L708" s="13">
        <f t="shared" si="111"/>
        <v>0</v>
      </c>
      <c r="M708" s="54">
        <f t="shared" si="112"/>
        <v>48245</v>
      </c>
      <c r="N708" s="7"/>
      <c r="O708" s="12"/>
      <c r="Q708" s="65"/>
      <c r="W708" s="3"/>
      <c r="X708" s="3"/>
    </row>
    <row r="709" spans="1:24" customFormat="1">
      <c r="A709" s="3"/>
      <c r="B709" s="7"/>
      <c r="C709" s="7">
        <v>74</v>
      </c>
      <c r="D709" s="24">
        <f t="shared" si="107"/>
        <v>0</v>
      </c>
      <c r="E709" s="103">
        <f t="shared" si="110"/>
        <v>0</v>
      </c>
      <c r="F709" s="53"/>
      <c r="G709" s="24">
        <f t="shared" si="108"/>
        <v>0</v>
      </c>
      <c r="H709" s="15"/>
      <c r="I709" s="15"/>
      <c r="J709" s="24">
        <f t="shared" si="109"/>
        <v>0</v>
      </c>
      <c r="K709" s="51">
        <f>IF(L709=1,0,IF(SUM(K$635:K708)&gt;=Construction_Timeline,0,1))</f>
        <v>0</v>
      </c>
      <c r="L709" s="13">
        <f t="shared" si="111"/>
        <v>0</v>
      </c>
      <c r="M709" s="54">
        <f t="shared" si="112"/>
        <v>48274</v>
      </c>
      <c r="N709" s="7"/>
      <c r="O709" s="12"/>
      <c r="Q709" s="65"/>
      <c r="W709" s="3"/>
      <c r="X709" s="3"/>
    </row>
    <row r="710" spans="1:24" customFormat="1">
      <c r="A710" s="3"/>
      <c r="B710" s="7"/>
      <c r="C710" s="7">
        <v>75</v>
      </c>
      <c r="D710" s="24">
        <f t="shared" si="107"/>
        <v>0</v>
      </c>
      <c r="E710" s="103">
        <f t="shared" si="110"/>
        <v>0</v>
      </c>
      <c r="F710" s="53"/>
      <c r="G710" s="24">
        <f t="shared" si="108"/>
        <v>0</v>
      </c>
      <c r="H710" s="15"/>
      <c r="I710" s="15"/>
      <c r="J710" s="24">
        <f t="shared" si="109"/>
        <v>0</v>
      </c>
      <c r="K710" s="51">
        <f>IF(L710=1,0,IF(SUM(K$635:K709)&gt;=Construction_Timeline,0,1))</f>
        <v>0</v>
      </c>
      <c r="L710" s="13">
        <f t="shared" si="111"/>
        <v>0</v>
      </c>
      <c r="M710" s="54">
        <f t="shared" si="112"/>
        <v>48305</v>
      </c>
      <c r="N710" s="7"/>
      <c r="O710" s="12"/>
      <c r="Q710" s="65"/>
      <c r="W710" s="3"/>
      <c r="X710" s="3"/>
    </row>
    <row r="711" spans="1:24" customFormat="1">
      <c r="A711" s="3"/>
      <c r="B711" s="7"/>
      <c r="C711" s="7">
        <v>76</v>
      </c>
      <c r="D711" s="24">
        <f t="shared" si="107"/>
        <v>0</v>
      </c>
      <c r="E711" s="103">
        <f t="shared" si="110"/>
        <v>0</v>
      </c>
      <c r="F711" s="53"/>
      <c r="G711" s="24">
        <f t="shared" si="108"/>
        <v>0</v>
      </c>
      <c r="H711" s="15"/>
      <c r="I711" s="15"/>
      <c r="J711" s="24">
        <f t="shared" si="109"/>
        <v>0</v>
      </c>
      <c r="K711" s="51">
        <f>IF(L711=1,0,IF(SUM(K$635:K710)&gt;=Construction_Timeline,0,1))</f>
        <v>0</v>
      </c>
      <c r="L711" s="13">
        <f t="shared" si="111"/>
        <v>0</v>
      </c>
      <c r="M711" s="54">
        <f t="shared" si="112"/>
        <v>48335</v>
      </c>
      <c r="N711" s="7"/>
      <c r="O711" s="12"/>
      <c r="Q711" s="65"/>
      <c r="W711" s="3"/>
      <c r="X711" s="3"/>
    </row>
    <row r="712" spans="1:24" customFormat="1">
      <c r="A712" s="3"/>
      <c r="B712" s="7"/>
      <c r="C712" s="7">
        <v>77</v>
      </c>
      <c r="D712" s="24">
        <f t="shared" si="107"/>
        <v>0</v>
      </c>
      <c r="E712" s="103">
        <f t="shared" si="110"/>
        <v>0</v>
      </c>
      <c r="F712" s="53"/>
      <c r="G712" s="24">
        <f t="shared" si="108"/>
        <v>0</v>
      </c>
      <c r="H712" s="15"/>
      <c r="I712" s="15"/>
      <c r="J712" s="24">
        <f t="shared" si="109"/>
        <v>0</v>
      </c>
      <c r="K712" s="51">
        <f>IF(L712=1,0,IF(SUM(K$635:K711)&gt;=Construction_Timeline,0,1))</f>
        <v>0</v>
      </c>
      <c r="L712" s="13">
        <f t="shared" si="111"/>
        <v>0</v>
      </c>
      <c r="M712" s="54">
        <f t="shared" si="112"/>
        <v>48366</v>
      </c>
      <c r="N712" s="7"/>
      <c r="O712" s="12"/>
      <c r="Q712" s="65"/>
      <c r="W712" s="3"/>
      <c r="X712" s="3"/>
    </row>
    <row r="713" spans="1:24" customFormat="1">
      <c r="A713" s="3"/>
      <c r="B713" s="7"/>
      <c r="C713" s="7">
        <v>78</v>
      </c>
      <c r="D713" s="24">
        <f t="shared" si="107"/>
        <v>0</v>
      </c>
      <c r="E713" s="103">
        <f t="shared" si="110"/>
        <v>0</v>
      </c>
      <c r="F713" s="53"/>
      <c r="G713" s="24">
        <f t="shared" si="108"/>
        <v>0</v>
      </c>
      <c r="H713" s="15"/>
      <c r="I713" s="15"/>
      <c r="J713" s="24">
        <f t="shared" si="109"/>
        <v>0</v>
      </c>
      <c r="K713" s="51">
        <f>IF(L713=1,0,IF(SUM(K$635:K712)&gt;=Construction_Timeline,0,1))</f>
        <v>0</v>
      </c>
      <c r="L713" s="13">
        <f t="shared" si="111"/>
        <v>0</v>
      </c>
      <c r="M713" s="54">
        <f t="shared" si="112"/>
        <v>48396</v>
      </c>
      <c r="N713" s="7"/>
      <c r="O713" s="12"/>
      <c r="Q713" s="65"/>
      <c r="W713" s="3"/>
      <c r="X713" s="3"/>
    </row>
    <row r="714" spans="1:24" customFormat="1">
      <c r="A714" s="3"/>
      <c r="B714" s="7"/>
      <c r="C714" s="7">
        <v>79</v>
      </c>
      <c r="D714" s="24">
        <f t="shared" si="107"/>
        <v>0</v>
      </c>
      <c r="E714" s="103">
        <f t="shared" si="110"/>
        <v>0</v>
      </c>
      <c r="F714" s="53"/>
      <c r="G714" s="24">
        <f t="shared" si="108"/>
        <v>0</v>
      </c>
      <c r="H714" s="15"/>
      <c r="I714" s="15"/>
      <c r="J714" s="24">
        <f t="shared" si="109"/>
        <v>0</v>
      </c>
      <c r="K714" s="51">
        <f>IF(L714=1,0,IF(SUM(K$635:K713)&gt;=Construction_Timeline,0,1))</f>
        <v>0</v>
      </c>
      <c r="L714" s="13">
        <f t="shared" si="111"/>
        <v>0</v>
      </c>
      <c r="M714" s="54">
        <f t="shared" si="112"/>
        <v>48427</v>
      </c>
      <c r="N714" s="7"/>
      <c r="O714" s="12"/>
      <c r="Q714" s="65"/>
      <c r="W714" s="3"/>
      <c r="X714" s="3"/>
    </row>
    <row r="715" spans="1:24" customFormat="1">
      <c r="A715" s="3"/>
      <c r="B715" s="7"/>
      <c r="C715" s="7">
        <v>80</v>
      </c>
      <c r="D715" s="24">
        <f t="shared" si="107"/>
        <v>0</v>
      </c>
      <c r="E715" s="103">
        <f t="shared" si="110"/>
        <v>0</v>
      </c>
      <c r="F715" s="53"/>
      <c r="G715" s="24">
        <f t="shared" si="108"/>
        <v>0</v>
      </c>
      <c r="H715" s="15"/>
      <c r="I715" s="15"/>
      <c r="J715" s="24">
        <f t="shared" si="109"/>
        <v>0</v>
      </c>
      <c r="K715" s="51">
        <f>IF(L715=1,0,IF(SUM(K$635:K714)&gt;=Construction_Timeline,0,1))</f>
        <v>0</v>
      </c>
      <c r="L715" s="13">
        <f t="shared" si="111"/>
        <v>0</v>
      </c>
      <c r="M715" s="54">
        <f t="shared" si="112"/>
        <v>48458</v>
      </c>
      <c r="N715" s="7"/>
      <c r="O715" s="12"/>
      <c r="Q715" s="65"/>
      <c r="W715" s="3"/>
      <c r="X715" s="3"/>
    </row>
    <row r="716" spans="1:24" customFormat="1">
      <c r="A716" s="3"/>
      <c r="B716" s="7"/>
      <c r="C716" s="7">
        <v>81</v>
      </c>
      <c r="D716" s="24">
        <f t="shared" si="107"/>
        <v>0</v>
      </c>
      <c r="E716" s="103">
        <f t="shared" si="110"/>
        <v>0</v>
      </c>
      <c r="F716" s="53"/>
      <c r="G716" s="24">
        <f t="shared" si="108"/>
        <v>0</v>
      </c>
      <c r="H716" s="15"/>
      <c r="I716" s="15"/>
      <c r="J716" s="24">
        <f t="shared" si="109"/>
        <v>0</v>
      </c>
      <c r="K716" s="51">
        <f>IF(L716=1,0,IF(SUM(K$635:K715)&gt;=Construction_Timeline,0,1))</f>
        <v>0</v>
      </c>
      <c r="L716" s="13">
        <f t="shared" si="111"/>
        <v>0</v>
      </c>
      <c r="M716" s="54">
        <f t="shared" si="112"/>
        <v>48488</v>
      </c>
      <c r="N716" s="7"/>
      <c r="O716" s="12"/>
      <c r="Q716" s="65"/>
      <c r="W716" s="3"/>
      <c r="X716" s="3"/>
    </row>
    <row r="717" spans="1:24" customFormat="1">
      <c r="A717" s="3"/>
      <c r="B717" s="7"/>
      <c r="C717" s="7">
        <v>82</v>
      </c>
      <c r="D717" s="24">
        <f t="shared" si="107"/>
        <v>0</v>
      </c>
      <c r="E717" s="103">
        <f t="shared" si="110"/>
        <v>0</v>
      </c>
      <c r="F717" s="53"/>
      <c r="G717" s="24">
        <f t="shared" si="108"/>
        <v>0</v>
      </c>
      <c r="H717" s="15"/>
      <c r="I717" s="15"/>
      <c r="J717" s="24">
        <f t="shared" si="109"/>
        <v>0</v>
      </c>
      <c r="K717" s="51">
        <f>IF(L717=1,0,IF(SUM(K$635:K716)&gt;=Construction_Timeline,0,1))</f>
        <v>0</v>
      </c>
      <c r="L717" s="13">
        <f t="shared" si="111"/>
        <v>0</v>
      </c>
      <c r="M717" s="54">
        <f t="shared" si="112"/>
        <v>48519</v>
      </c>
      <c r="N717" s="7"/>
      <c r="O717" s="12"/>
      <c r="Q717" s="65"/>
      <c r="W717" s="3"/>
      <c r="X717" s="3"/>
    </row>
    <row r="718" spans="1:24" customFormat="1">
      <c r="A718" s="3"/>
      <c r="B718" s="7"/>
      <c r="C718" s="7">
        <v>83</v>
      </c>
      <c r="D718" s="24">
        <f t="shared" si="107"/>
        <v>0</v>
      </c>
      <c r="E718" s="103">
        <f t="shared" si="110"/>
        <v>0</v>
      </c>
      <c r="F718" s="53"/>
      <c r="G718" s="24">
        <f t="shared" si="108"/>
        <v>0</v>
      </c>
      <c r="H718" s="15"/>
      <c r="I718" s="15"/>
      <c r="J718" s="24">
        <f t="shared" si="109"/>
        <v>0</v>
      </c>
      <c r="K718" s="51">
        <f>IF(L718=1,0,IF(SUM(K$635:K717)&gt;=Construction_Timeline,0,1))</f>
        <v>0</v>
      </c>
      <c r="L718" s="13">
        <f t="shared" si="111"/>
        <v>0</v>
      </c>
      <c r="M718" s="54">
        <f t="shared" si="112"/>
        <v>48549</v>
      </c>
      <c r="N718" s="7"/>
      <c r="O718" s="12"/>
      <c r="Q718" s="65"/>
      <c r="W718" s="3"/>
      <c r="X718" s="3"/>
    </row>
    <row r="719" spans="1:24" customFormat="1">
      <c r="A719" s="3"/>
      <c r="B719" s="7"/>
      <c r="C719" s="7">
        <v>84</v>
      </c>
      <c r="D719" s="24">
        <f t="shared" si="107"/>
        <v>0</v>
      </c>
      <c r="E719" s="103">
        <f t="shared" si="110"/>
        <v>0</v>
      </c>
      <c r="F719" s="53"/>
      <c r="G719" s="24">
        <f t="shared" si="108"/>
        <v>0</v>
      </c>
      <c r="H719" s="15"/>
      <c r="I719" s="15"/>
      <c r="J719" s="24">
        <f t="shared" si="109"/>
        <v>0</v>
      </c>
      <c r="K719" s="51">
        <f>IF(L719=1,0,IF(SUM(K$635:K718)&gt;=Construction_Timeline,0,1))</f>
        <v>0</v>
      </c>
      <c r="L719" s="13">
        <f t="shared" si="111"/>
        <v>0</v>
      </c>
      <c r="M719" s="54">
        <f t="shared" si="112"/>
        <v>48580</v>
      </c>
      <c r="N719" s="7"/>
      <c r="O719" s="12"/>
      <c r="Q719" s="65"/>
      <c r="W719" s="3"/>
      <c r="X719" s="3"/>
    </row>
    <row r="720" spans="1:24" customFormat="1">
      <c r="A720" s="3"/>
      <c r="B720" s="7"/>
      <c r="C720" s="7">
        <v>85</v>
      </c>
      <c r="D720" s="24">
        <f t="shared" si="107"/>
        <v>0</v>
      </c>
      <c r="E720" s="103">
        <f t="shared" si="110"/>
        <v>0</v>
      </c>
      <c r="F720" s="53"/>
      <c r="G720" s="24">
        <f t="shared" si="108"/>
        <v>0</v>
      </c>
      <c r="H720" s="15"/>
      <c r="I720" s="15"/>
      <c r="J720" s="24">
        <f t="shared" si="109"/>
        <v>0</v>
      </c>
      <c r="K720" s="51">
        <f>IF(L720=1,0,IF(SUM(K$635:K719)&gt;=Construction_Timeline,0,1))</f>
        <v>0</v>
      </c>
      <c r="L720" s="13">
        <f t="shared" si="111"/>
        <v>0</v>
      </c>
      <c r="M720" s="54">
        <f t="shared" si="112"/>
        <v>48611</v>
      </c>
      <c r="N720" s="7"/>
      <c r="O720" s="12"/>
      <c r="Q720" s="65"/>
      <c r="W720" s="3"/>
      <c r="X720" s="3"/>
    </row>
    <row r="721" spans="1:24" customFormat="1">
      <c r="A721" s="3"/>
      <c r="B721" s="7"/>
      <c r="C721" s="7">
        <v>86</v>
      </c>
      <c r="D721" s="24">
        <f t="shared" si="107"/>
        <v>0</v>
      </c>
      <c r="E721" s="103">
        <f t="shared" si="110"/>
        <v>0</v>
      </c>
      <c r="F721" s="53"/>
      <c r="G721" s="24">
        <f t="shared" si="108"/>
        <v>0</v>
      </c>
      <c r="H721" s="15"/>
      <c r="I721" s="15"/>
      <c r="J721" s="24">
        <f t="shared" si="109"/>
        <v>0</v>
      </c>
      <c r="K721" s="51">
        <f>IF(L721=1,0,IF(SUM(K$635:K720)&gt;=Construction_Timeline,0,1))</f>
        <v>0</v>
      </c>
      <c r="L721" s="13">
        <f t="shared" si="111"/>
        <v>0</v>
      </c>
      <c r="M721" s="54">
        <f t="shared" si="112"/>
        <v>48639</v>
      </c>
      <c r="N721" s="7"/>
      <c r="O721" s="12"/>
      <c r="Q721" s="65"/>
      <c r="W721" s="3"/>
      <c r="X721" s="3"/>
    </row>
    <row r="722" spans="1:24" customFormat="1">
      <c r="A722" s="3"/>
      <c r="B722" s="7"/>
      <c r="C722" s="7">
        <v>87</v>
      </c>
      <c r="D722" s="24">
        <f t="shared" si="107"/>
        <v>0</v>
      </c>
      <c r="E722" s="103">
        <f t="shared" si="110"/>
        <v>0</v>
      </c>
      <c r="F722" s="53"/>
      <c r="G722" s="24">
        <f t="shared" si="108"/>
        <v>0</v>
      </c>
      <c r="H722" s="15"/>
      <c r="I722" s="15"/>
      <c r="J722" s="24">
        <f t="shared" si="109"/>
        <v>0</v>
      </c>
      <c r="K722" s="51">
        <f>IF(L722=1,0,IF(SUM(K$635:K721)&gt;=Construction_Timeline,0,1))</f>
        <v>0</v>
      </c>
      <c r="L722" s="13">
        <f t="shared" si="111"/>
        <v>0</v>
      </c>
      <c r="M722" s="54">
        <f t="shared" si="112"/>
        <v>48670</v>
      </c>
      <c r="N722" s="7"/>
      <c r="O722" s="12"/>
      <c r="Q722" s="65"/>
      <c r="W722" s="3"/>
      <c r="X722" s="3"/>
    </row>
    <row r="723" spans="1:24" customFormat="1">
      <c r="A723" s="3"/>
      <c r="B723" s="7"/>
      <c r="C723" s="7">
        <v>88</v>
      </c>
      <c r="D723" s="24">
        <f t="shared" si="107"/>
        <v>0</v>
      </c>
      <c r="E723" s="103">
        <f t="shared" si="110"/>
        <v>0</v>
      </c>
      <c r="F723" s="53"/>
      <c r="G723" s="24">
        <f t="shared" si="108"/>
        <v>0</v>
      </c>
      <c r="H723" s="15"/>
      <c r="I723" s="15"/>
      <c r="J723" s="24">
        <f t="shared" si="109"/>
        <v>0</v>
      </c>
      <c r="K723" s="51">
        <f>IF(L723=1,0,IF(SUM(K$635:K722)&gt;=Construction_Timeline,0,1))</f>
        <v>0</v>
      </c>
      <c r="L723" s="13">
        <f t="shared" si="111"/>
        <v>0</v>
      </c>
      <c r="M723" s="54">
        <f t="shared" si="112"/>
        <v>48700</v>
      </c>
      <c r="N723" s="7"/>
      <c r="O723" s="12"/>
      <c r="Q723" s="65"/>
      <c r="W723" s="3"/>
      <c r="X723" s="3"/>
    </row>
    <row r="724" spans="1:24" customFormat="1">
      <c r="A724" s="3"/>
      <c r="B724" s="7"/>
      <c r="C724" s="7">
        <v>89</v>
      </c>
      <c r="D724" s="24">
        <f t="shared" si="107"/>
        <v>0</v>
      </c>
      <c r="E724" s="103">
        <f t="shared" si="110"/>
        <v>0</v>
      </c>
      <c r="F724" s="53"/>
      <c r="G724" s="24">
        <f t="shared" si="108"/>
        <v>0</v>
      </c>
      <c r="H724" s="15"/>
      <c r="I724" s="15"/>
      <c r="J724" s="24">
        <f t="shared" si="109"/>
        <v>0</v>
      </c>
      <c r="K724" s="51">
        <f>IF(L724=1,0,IF(SUM(K$635:K723)&gt;=Construction_Timeline,0,1))</f>
        <v>0</v>
      </c>
      <c r="L724" s="13">
        <f t="shared" si="111"/>
        <v>0</v>
      </c>
      <c r="M724" s="54">
        <f t="shared" si="112"/>
        <v>48731</v>
      </c>
      <c r="N724" s="7"/>
      <c r="O724" s="12"/>
      <c r="Q724" s="65"/>
      <c r="W724" s="3"/>
      <c r="X724" s="3"/>
    </row>
    <row r="725" spans="1:24" customFormat="1">
      <c r="A725" s="3"/>
      <c r="B725" s="7"/>
      <c r="C725" s="7">
        <v>90</v>
      </c>
      <c r="D725" s="24">
        <f t="shared" si="107"/>
        <v>0</v>
      </c>
      <c r="E725" s="103">
        <f t="shared" si="110"/>
        <v>0</v>
      </c>
      <c r="F725" s="53"/>
      <c r="G725" s="24">
        <f t="shared" si="108"/>
        <v>0</v>
      </c>
      <c r="H725" s="15"/>
      <c r="I725" s="15"/>
      <c r="J725" s="24">
        <f t="shared" si="109"/>
        <v>0</v>
      </c>
      <c r="K725" s="51">
        <f>IF(L725=1,0,IF(SUM(K$635:K724)&gt;=Construction_Timeline,0,1))</f>
        <v>0</v>
      </c>
      <c r="L725" s="13">
        <f t="shared" si="111"/>
        <v>0</v>
      </c>
      <c r="M725" s="54">
        <f t="shared" si="112"/>
        <v>48761</v>
      </c>
      <c r="N725" s="7"/>
      <c r="O725" s="12"/>
      <c r="Q725" s="65"/>
      <c r="W725" s="3"/>
      <c r="X725" s="3"/>
    </row>
    <row r="726" spans="1:24" customFormat="1">
      <c r="A726" s="3"/>
      <c r="B726" s="7"/>
      <c r="C726" s="7">
        <v>91</v>
      </c>
      <c r="D726" s="24">
        <f t="shared" si="107"/>
        <v>0</v>
      </c>
      <c r="E726" s="103">
        <f t="shared" si="110"/>
        <v>0</v>
      </c>
      <c r="F726" s="53"/>
      <c r="G726" s="24">
        <f t="shared" si="108"/>
        <v>0</v>
      </c>
      <c r="H726" s="15"/>
      <c r="I726" s="15"/>
      <c r="J726" s="24">
        <f t="shared" si="109"/>
        <v>0</v>
      </c>
      <c r="K726" s="51">
        <f>IF(L726=1,0,IF(SUM(K$635:K725)&gt;=Construction_Timeline,0,1))</f>
        <v>0</v>
      </c>
      <c r="L726" s="13">
        <f t="shared" si="111"/>
        <v>0</v>
      </c>
      <c r="M726" s="54">
        <f t="shared" si="112"/>
        <v>48792</v>
      </c>
      <c r="N726" s="7"/>
      <c r="O726" s="12"/>
      <c r="Q726" s="65"/>
      <c r="W726" s="3"/>
      <c r="X726" s="3"/>
    </row>
    <row r="727" spans="1:24" customFormat="1">
      <c r="A727" s="3"/>
      <c r="B727" s="7"/>
      <c r="C727" s="7">
        <v>92</v>
      </c>
      <c r="D727" s="24">
        <f t="shared" si="107"/>
        <v>0</v>
      </c>
      <c r="E727" s="103">
        <f t="shared" si="110"/>
        <v>0</v>
      </c>
      <c r="F727" s="53"/>
      <c r="G727" s="24">
        <f t="shared" si="108"/>
        <v>0</v>
      </c>
      <c r="H727" s="15"/>
      <c r="I727" s="15"/>
      <c r="J727" s="24">
        <f t="shared" si="109"/>
        <v>0</v>
      </c>
      <c r="K727" s="51">
        <f>IF(L727=1,0,IF(SUM(K$635:K726)&gt;=Construction_Timeline,0,1))</f>
        <v>0</v>
      </c>
      <c r="L727" s="13">
        <f t="shared" si="111"/>
        <v>0</v>
      </c>
      <c r="M727" s="54">
        <f t="shared" si="112"/>
        <v>48823</v>
      </c>
      <c r="N727" s="7"/>
      <c r="O727" s="12"/>
      <c r="Q727" s="65"/>
      <c r="W727" s="3"/>
      <c r="X727" s="3"/>
    </row>
    <row r="728" spans="1:24" customFormat="1">
      <c r="A728" s="3"/>
      <c r="B728" s="7"/>
      <c r="C728" s="7">
        <v>93</v>
      </c>
      <c r="D728" s="24">
        <f t="shared" si="107"/>
        <v>0</v>
      </c>
      <c r="E728" s="103">
        <f t="shared" si="110"/>
        <v>0</v>
      </c>
      <c r="F728" s="53"/>
      <c r="G728" s="24">
        <f t="shared" si="108"/>
        <v>0</v>
      </c>
      <c r="H728" s="15"/>
      <c r="I728" s="15"/>
      <c r="J728" s="24">
        <f t="shared" si="109"/>
        <v>0</v>
      </c>
      <c r="K728" s="51">
        <f>IF(L728=1,0,IF(SUM(K$635:K727)&gt;=Construction_Timeline,0,1))</f>
        <v>0</v>
      </c>
      <c r="L728" s="13">
        <f t="shared" si="111"/>
        <v>0</v>
      </c>
      <c r="M728" s="54">
        <f t="shared" si="112"/>
        <v>48853</v>
      </c>
      <c r="N728" s="7"/>
      <c r="O728" s="12"/>
      <c r="Q728" s="65"/>
      <c r="W728" s="3"/>
      <c r="X728" s="3"/>
    </row>
    <row r="729" spans="1:24" customFormat="1">
      <c r="A729" s="3"/>
      <c r="B729" s="7"/>
      <c r="C729" s="7">
        <v>94</v>
      </c>
      <c r="D729" s="24">
        <f t="shared" si="107"/>
        <v>0</v>
      </c>
      <c r="E729" s="103">
        <f t="shared" si="110"/>
        <v>0</v>
      </c>
      <c r="F729" s="53"/>
      <c r="G729" s="24">
        <f t="shared" si="108"/>
        <v>0</v>
      </c>
      <c r="H729" s="15"/>
      <c r="I729" s="15"/>
      <c r="J729" s="24">
        <f t="shared" si="109"/>
        <v>0</v>
      </c>
      <c r="K729" s="51">
        <f>IF(L729=1,0,IF(SUM(K$635:K728)&gt;=Construction_Timeline,0,1))</f>
        <v>0</v>
      </c>
      <c r="L729" s="13">
        <f t="shared" si="111"/>
        <v>0</v>
      </c>
      <c r="M729" s="54">
        <f t="shared" si="112"/>
        <v>48884</v>
      </c>
      <c r="N729" s="7"/>
      <c r="O729" s="12"/>
      <c r="Q729" s="65"/>
      <c r="W729" s="3"/>
      <c r="X729" s="3"/>
    </row>
    <row r="730" spans="1:24" customFormat="1">
      <c r="A730" s="3"/>
      <c r="B730" s="7"/>
      <c r="C730" s="7">
        <v>95</v>
      </c>
      <c r="D730" s="24">
        <f t="shared" si="107"/>
        <v>0</v>
      </c>
      <c r="E730" s="103">
        <f t="shared" si="110"/>
        <v>0</v>
      </c>
      <c r="F730" s="53"/>
      <c r="G730" s="24">
        <f t="shared" si="108"/>
        <v>0</v>
      </c>
      <c r="H730" s="15"/>
      <c r="I730" s="15"/>
      <c r="J730" s="24">
        <f t="shared" si="109"/>
        <v>0</v>
      </c>
      <c r="K730" s="51">
        <f>IF(L730=1,0,IF(SUM(K$635:K729)&gt;=Construction_Timeline,0,1))</f>
        <v>0</v>
      </c>
      <c r="L730" s="13">
        <f t="shared" si="111"/>
        <v>0</v>
      </c>
      <c r="M730" s="54">
        <f t="shared" si="112"/>
        <v>48914</v>
      </c>
      <c r="N730" s="7"/>
      <c r="O730" s="12"/>
      <c r="Q730" s="65"/>
      <c r="W730" s="3"/>
      <c r="X730" s="3"/>
    </row>
    <row r="731" spans="1:24" customFormat="1">
      <c r="A731" s="3"/>
      <c r="B731" s="7"/>
      <c r="C731" s="7">
        <v>96</v>
      </c>
      <c r="D731" s="24">
        <f t="shared" si="107"/>
        <v>0</v>
      </c>
      <c r="E731" s="103">
        <f t="shared" si="110"/>
        <v>0</v>
      </c>
      <c r="F731" s="53"/>
      <c r="G731" s="24">
        <f t="shared" ref="G731:G762" si="113">IF(C731=SUM(Month_of_Sale,PreDev_Timeline,Construction_Timeline),Incentive_Sales_Price*(1-D$64),0)</f>
        <v>0</v>
      </c>
      <c r="H731" s="15"/>
      <c r="I731" s="15"/>
      <c r="J731" s="24">
        <f t="shared" ref="J731:J762" si="114">SUM(D731:G731)</f>
        <v>0</v>
      </c>
      <c r="K731" s="51">
        <f>IF(L731=1,0,IF(SUM(K$635:K730)&gt;=Construction_Timeline,0,1))</f>
        <v>0</v>
      </c>
      <c r="L731" s="13">
        <f t="shared" si="111"/>
        <v>0</v>
      </c>
      <c r="M731" s="54">
        <f t="shared" si="112"/>
        <v>48945</v>
      </c>
      <c r="N731" s="7"/>
      <c r="O731" s="12"/>
      <c r="Q731" s="65"/>
      <c r="W731" s="3"/>
      <c r="X731" s="3"/>
    </row>
    <row r="732" spans="1:24" customFormat="1">
      <c r="A732" s="3"/>
      <c r="B732" s="7"/>
      <c r="C732" s="7">
        <v>97</v>
      </c>
      <c r="D732" s="24">
        <f t="shared" si="107"/>
        <v>0</v>
      </c>
      <c r="E732" s="103">
        <f t="shared" ref="E732:E763" si="115">-Incentive_Pre_Development_Costs/PreDev_Timeline*L732</f>
        <v>0</v>
      </c>
      <c r="F732" s="53"/>
      <c r="G732" s="24">
        <f t="shared" si="113"/>
        <v>0</v>
      </c>
      <c r="H732" s="15"/>
      <c r="I732" s="15"/>
      <c r="J732" s="24">
        <f t="shared" si="114"/>
        <v>0</v>
      </c>
      <c r="K732" s="51">
        <f>IF(L732=1,0,IF(SUM(K$635:K731)&gt;=Construction_Timeline,0,1))</f>
        <v>0</v>
      </c>
      <c r="L732" s="13">
        <f t="shared" ref="L732:L763" si="116">IF(C732&lt;=PreDev_Timeline,1,0)</f>
        <v>0</v>
      </c>
      <c r="M732" s="54">
        <f t="shared" si="112"/>
        <v>48976</v>
      </c>
      <c r="N732" s="7"/>
      <c r="O732" s="12"/>
      <c r="Q732" s="65"/>
      <c r="W732" s="3"/>
      <c r="X732" s="3"/>
    </row>
    <row r="733" spans="1:24" customFormat="1">
      <c r="A733" s="3"/>
      <c r="B733" s="7"/>
      <c r="C733" s="7">
        <v>98</v>
      </c>
      <c r="D733" s="24">
        <f t="shared" si="107"/>
        <v>0</v>
      </c>
      <c r="E733" s="103">
        <f t="shared" si="115"/>
        <v>0</v>
      </c>
      <c r="F733" s="53"/>
      <c r="G733" s="24">
        <f t="shared" si="113"/>
        <v>0</v>
      </c>
      <c r="H733" s="15"/>
      <c r="I733" s="15"/>
      <c r="J733" s="24">
        <f t="shared" si="114"/>
        <v>0</v>
      </c>
      <c r="K733" s="51">
        <f>IF(L733=1,0,IF(SUM(K$635:K732)&gt;=Construction_Timeline,0,1))</f>
        <v>0</v>
      </c>
      <c r="L733" s="13">
        <f t="shared" si="116"/>
        <v>0</v>
      </c>
      <c r="M733" s="54">
        <f t="shared" si="112"/>
        <v>49004</v>
      </c>
      <c r="N733" s="7"/>
      <c r="O733" s="12"/>
      <c r="Q733" s="65"/>
      <c r="W733" s="3"/>
      <c r="X733" s="3"/>
    </row>
    <row r="734" spans="1:24" customFormat="1">
      <c r="A734" s="3"/>
      <c r="B734" s="7"/>
      <c r="C734" s="7">
        <v>99</v>
      </c>
      <c r="D734" s="24">
        <f t="shared" si="107"/>
        <v>0</v>
      </c>
      <c r="E734" s="103">
        <f t="shared" si="115"/>
        <v>0</v>
      </c>
      <c r="F734" s="53"/>
      <c r="G734" s="24">
        <f t="shared" si="113"/>
        <v>0</v>
      </c>
      <c r="H734" s="15"/>
      <c r="I734" s="15"/>
      <c r="J734" s="24">
        <f t="shared" si="114"/>
        <v>0</v>
      </c>
      <c r="K734" s="51">
        <f>IF(L734=1,0,IF(SUM(K$635:K733)&gt;=Construction_Timeline,0,1))</f>
        <v>0</v>
      </c>
      <c r="L734" s="13">
        <f t="shared" si="116"/>
        <v>0</v>
      </c>
      <c r="M734" s="54">
        <f t="shared" si="112"/>
        <v>49035</v>
      </c>
      <c r="N734" s="7"/>
      <c r="O734" s="12"/>
      <c r="Q734" s="65"/>
      <c r="W734" s="3"/>
      <c r="X734" s="3"/>
    </row>
    <row r="735" spans="1:24" customFormat="1">
      <c r="A735" s="3"/>
      <c r="B735" s="7"/>
      <c r="C735" s="7">
        <v>100</v>
      </c>
      <c r="D735" s="24">
        <f t="shared" si="107"/>
        <v>0</v>
      </c>
      <c r="E735" s="103">
        <f t="shared" si="115"/>
        <v>0</v>
      </c>
      <c r="F735" s="53"/>
      <c r="G735" s="24">
        <f t="shared" si="113"/>
        <v>0</v>
      </c>
      <c r="H735" s="15"/>
      <c r="I735" s="15"/>
      <c r="J735" s="24">
        <f t="shared" si="114"/>
        <v>0</v>
      </c>
      <c r="K735" s="51">
        <f>IF(L735=1,0,IF(SUM(K$635:K734)&gt;=Construction_Timeline,0,1))</f>
        <v>0</v>
      </c>
      <c r="L735" s="13">
        <f t="shared" si="116"/>
        <v>0</v>
      </c>
      <c r="M735" s="54">
        <f t="shared" si="112"/>
        <v>49065</v>
      </c>
      <c r="N735" s="7"/>
      <c r="O735" s="12"/>
      <c r="Q735" s="65"/>
      <c r="W735" s="3"/>
      <c r="X735" s="3"/>
    </row>
    <row r="736" spans="1:24" customFormat="1">
      <c r="A736" s="3"/>
      <c r="B736" s="7"/>
      <c r="C736" s="7">
        <v>101</v>
      </c>
      <c r="D736" s="24">
        <f t="shared" si="107"/>
        <v>0</v>
      </c>
      <c r="E736" s="103">
        <f t="shared" si="115"/>
        <v>0</v>
      </c>
      <c r="F736" s="53"/>
      <c r="G736" s="24">
        <f t="shared" si="113"/>
        <v>0</v>
      </c>
      <c r="H736" s="15"/>
      <c r="I736" s="15"/>
      <c r="J736" s="24">
        <f t="shared" si="114"/>
        <v>0</v>
      </c>
      <c r="K736" s="51">
        <f>IF(L736=1,0,IF(SUM(K$635:K735)&gt;=Construction_Timeline,0,1))</f>
        <v>0</v>
      </c>
      <c r="L736" s="13">
        <f t="shared" si="116"/>
        <v>0</v>
      </c>
      <c r="M736" s="54">
        <f t="shared" si="112"/>
        <v>49096</v>
      </c>
      <c r="N736" s="7"/>
      <c r="O736" s="12"/>
      <c r="Q736" s="65"/>
      <c r="W736" s="3"/>
      <c r="X736" s="3"/>
    </row>
    <row r="737" spans="1:24" customFormat="1">
      <c r="A737" s="3"/>
      <c r="B737" s="7"/>
      <c r="C737" s="7">
        <v>102</v>
      </c>
      <c r="D737" s="24">
        <f t="shared" si="107"/>
        <v>0</v>
      </c>
      <c r="E737" s="103">
        <f t="shared" si="115"/>
        <v>0</v>
      </c>
      <c r="F737" s="53"/>
      <c r="G737" s="24">
        <f t="shared" si="113"/>
        <v>0</v>
      </c>
      <c r="H737" s="15"/>
      <c r="I737" s="15"/>
      <c r="J737" s="24">
        <f t="shared" si="114"/>
        <v>0</v>
      </c>
      <c r="K737" s="51">
        <f>IF(L737=1,0,IF(SUM(K$635:K736)&gt;=Construction_Timeline,0,1))</f>
        <v>0</v>
      </c>
      <c r="L737" s="13">
        <f t="shared" si="116"/>
        <v>0</v>
      </c>
      <c r="M737" s="54">
        <f t="shared" si="112"/>
        <v>49126</v>
      </c>
      <c r="N737" s="7"/>
      <c r="O737" s="12"/>
      <c r="Q737" s="65"/>
      <c r="W737" s="3"/>
      <c r="X737" s="3"/>
    </row>
    <row r="738" spans="1:24" customFormat="1">
      <c r="A738" s="3"/>
      <c r="B738" s="7"/>
      <c r="C738" s="7">
        <v>103</v>
      </c>
      <c r="D738" s="24">
        <f t="shared" si="107"/>
        <v>0</v>
      </c>
      <c r="E738" s="103">
        <f t="shared" si="115"/>
        <v>0</v>
      </c>
      <c r="F738" s="53"/>
      <c r="G738" s="24">
        <f t="shared" si="113"/>
        <v>0</v>
      </c>
      <c r="H738" s="15"/>
      <c r="I738" s="15"/>
      <c r="J738" s="24">
        <f t="shared" si="114"/>
        <v>0</v>
      </c>
      <c r="K738" s="51">
        <f>IF(L738=1,0,IF(SUM(K$635:K737)&gt;=Construction_Timeline,0,1))</f>
        <v>0</v>
      </c>
      <c r="L738" s="13">
        <f t="shared" si="116"/>
        <v>0</v>
      </c>
      <c r="M738" s="54">
        <f t="shared" si="112"/>
        <v>49157</v>
      </c>
      <c r="N738" s="7"/>
      <c r="O738" s="12"/>
      <c r="Q738" s="65"/>
      <c r="W738" s="3"/>
      <c r="X738" s="3"/>
    </row>
    <row r="739" spans="1:24" customFormat="1">
      <c r="A739" s="3"/>
      <c r="B739" s="7"/>
      <c r="C739" s="7">
        <v>104</v>
      </c>
      <c r="D739" s="24">
        <f t="shared" si="107"/>
        <v>0</v>
      </c>
      <c r="E739" s="103">
        <f t="shared" si="115"/>
        <v>0</v>
      </c>
      <c r="F739" s="53"/>
      <c r="G739" s="24">
        <f t="shared" si="113"/>
        <v>0</v>
      </c>
      <c r="H739" s="15"/>
      <c r="I739" s="15"/>
      <c r="J739" s="24">
        <f t="shared" si="114"/>
        <v>0</v>
      </c>
      <c r="K739" s="51">
        <f>IF(L739=1,0,IF(SUM(K$635:K738)&gt;=Construction_Timeline,0,1))</f>
        <v>0</v>
      </c>
      <c r="L739" s="13">
        <f t="shared" si="116"/>
        <v>0</v>
      </c>
      <c r="M739" s="54">
        <f t="shared" si="112"/>
        <v>49188</v>
      </c>
      <c r="N739" s="7"/>
      <c r="O739" s="12"/>
      <c r="Q739" s="65"/>
      <c r="W739" s="3"/>
      <c r="X739" s="3"/>
    </row>
    <row r="740" spans="1:24" customFormat="1">
      <c r="A740" s="3"/>
      <c r="B740" s="7"/>
      <c r="C740" s="7">
        <v>105</v>
      </c>
      <c r="D740" s="24">
        <f t="shared" si="107"/>
        <v>0</v>
      </c>
      <c r="E740" s="103">
        <f t="shared" si="115"/>
        <v>0</v>
      </c>
      <c r="F740" s="53"/>
      <c r="G740" s="24">
        <f t="shared" si="113"/>
        <v>0</v>
      </c>
      <c r="H740" s="15"/>
      <c r="I740" s="15"/>
      <c r="J740" s="24">
        <f t="shared" si="114"/>
        <v>0</v>
      </c>
      <c r="K740" s="51">
        <f>IF(L740=1,0,IF(SUM(K$635:K739)&gt;=Construction_Timeline,0,1))</f>
        <v>0</v>
      </c>
      <c r="L740" s="13">
        <f t="shared" si="116"/>
        <v>0</v>
      </c>
      <c r="M740" s="54">
        <f t="shared" si="112"/>
        <v>49218</v>
      </c>
      <c r="N740" s="7"/>
      <c r="O740" s="12"/>
      <c r="Q740" s="65"/>
      <c r="W740" s="3"/>
      <c r="X740" s="3"/>
    </row>
    <row r="741" spans="1:24" customFormat="1">
      <c r="A741" s="3"/>
      <c r="B741" s="7"/>
      <c r="C741" s="7">
        <v>106</v>
      </c>
      <c r="D741" s="24">
        <f t="shared" si="107"/>
        <v>0</v>
      </c>
      <c r="E741" s="103">
        <f t="shared" si="115"/>
        <v>0</v>
      </c>
      <c r="F741" s="53"/>
      <c r="G741" s="24">
        <f t="shared" si="113"/>
        <v>0</v>
      </c>
      <c r="H741" s="15"/>
      <c r="I741" s="15"/>
      <c r="J741" s="24">
        <f t="shared" si="114"/>
        <v>0</v>
      </c>
      <c r="K741" s="51">
        <f>IF(L741=1,0,IF(SUM(K$635:K740)&gt;=Construction_Timeline,0,1))</f>
        <v>0</v>
      </c>
      <c r="L741" s="13">
        <f t="shared" si="116"/>
        <v>0</v>
      </c>
      <c r="M741" s="54">
        <f t="shared" si="112"/>
        <v>49249</v>
      </c>
      <c r="N741" s="7"/>
      <c r="O741" s="12"/>
      <c r="Q741" s="65"/>
      <c r="W741" s="3"/>
      <c r="X741" s="3"/>
    </row>
    <row r="742" spans="1:24" customFormat="1">
      <c r="A742" s="3"/>
      <c r="B742" s="7"/>
      <c r="C742" s="7">
        <v>107</v>
      </c>
      <c r="D742" s="24">
        <f t="shared" si="107"/>
        <v>0</v>
      </c>
      <c r="E742" s="103">
        <f t="shared" si="115"/>
        <v>0</v>
      </c>
      <c r="F742" s="53"/>
      <c r="G742" s="24">
        <f t="shared" si="113"/>
        <v>0</v>
      </c>
      <c r="H742" s="15"/>
      <c r="I742" s="15"/>
      <c r="J742" s="24">
        <f t="shared" si="114"/>
        <v>0</v>
      </c>
      <c r="K742" s="51">
        <f>IF(L742=1,0,IF(SUM(K$635:K741)&gt;=Construction_Timeline,0,1))</f>
        <v>0</v>
      </c>
      <c r="L742" s="13">
        <f t="shared" si="116"/>
        <v>0</v>
      </c>
      <c r="M742" s="54">
        <f t="shared" si="112"/>
        <v>49279</v>
      </c>
      <c r="N742" s="7"/>
      <c r="O742" s="12"/>
      <c r="Q742" s="65"/>
      <c r="W742" s="3"/>
      <c r="X742" s="3"/>
    </row>
    <row r="743" spans="1:24" customFormat="1">
      <c r="A743" s="3"/>
      <c r="B743" s="7"/>
      <c r="C743" s="7">
        <v>108</v>
      </c>
      <c r="D743" s="24">
        <f t="shared" si="107"/>
        <v>0</v>
      </c>
      <c r="E743" s="103">
        <f t="shared" si="115"/>
        <v>0</v>
      </c>
      <c r="F743" s="53"/>
      <c r="G743" s="24">
        <f t="shared" si="113"/>
        <v>0</v>
      </c>
      <c r="H743" s="15"/>
      <c r="I743" s="15"/>
      <c r="J743" s="24">
        <f t="shared" si="114"/>
        <v>0</v>
      </c>
      <c r="K743" s="51">
        <f>IF(L743=1,0,IF(SUM(K$635:K742)&gt;=Construction_Timeline,0,1))</f>
        <v>0</v>
      </c>
      <c r="L743" s="13">
        <f t="shared" si="116"/>
        <v>0</v>
      </c>
      <c r="M743" s="54">
        <f t="shared" si="112"/>
        <v>49310</v>
      </c>
      <c r="N743" s="7"/>
      <c r="O743" s="12"/>
      <c r="Q743" s="65"/>
      <c r="W743" s="3"/>
      <c r="X743" s="3"/>
    </row>
    <row r="744" spans="1:24" customFormat="1">
      <c r="A744" s="3"/>
      <c r="B744" s="7"/>
      <c r="C744" s="7">
        <v>109</v>
      </c>
      <c r="D744" s="24">
        <f t="shared" si="107"/>
        <v>0</v>
      </c>
      <c r="E744" s="103">
        <f t="shared" si="115"/>
        <v>0</v>
      </c>
      <c r="F744" s="53"/>
      <c r="G744" s="24">
        <f t="shared" si="113"/>
        <v>0</v>
      </c>
      <c r="H744" s="15"/>
      <c r="I744" s="15"/>
      <c r="J744" s="24">
        <f t="shared" si="114"/>
        <v>0</v>
      </c>
      <c r="K744" s="51">
        <f>IF(L744=1,0,IF(SUM(K$635:K743)&gt;=Construction_Timeline,0,1))</f>
        <v>0</v>
      </c>
      <c r="L744" s="13">
        <f t="shared" si="116"/>
        <v>0</v>
      </c>
      <c r="M744" s="54">
        <f t="shared" si="112"/>
        <v>49341</v>
      </c>
      <c r="N744" s="7"/>
      <c r="O744" s="12"/>
      <c r="Q744" s="65"/>
      <c r="W744" s="3"/>
      <c r="X744" s="3"/>
    </row>
    <row r="745" spans="1:24" customFormat="1">
      <c r="A745" s="3"/>
      <c r="B745" s="7"/>
      <c r="C745" s="7">
        <v>110</v>
      </c>
      <c r="D745" s="24">
        <f t="shared" si="107"/>
        <v>0</v>
      </c>
      <c r="E745" s="103">
        <f t="shared" si="115"/>
        <v>0</v>
      </c>
      <c r="F745" s="53"/>
      <c r="G745" s="24">
        <f t="shared" si="113"/>
        <v>0</v>
      </c>
      <c r="H745" s="15"/>
      <c r="I745" s="15"/>
      <c r="J745" s="24">
        <f t="shared" si="114"/>
        <v>0</v>
      </c>
      <c r="K745" s="51">
        <f>IF(L745=1,0,IF(SUM(K$635:K744)&gt;=Construction_Timeline,0,1))</f>
        <v>0</v>
      </c>
      <c r="L745" s="13">
        <f t="shared" si="116"/>
        <v>0</v>
      </c>
      <c r="M745" s="54">
        <f t="shared" si="112"/>
        <v>49369</v>
      </c>
      <c r="N745" s="7"/>
      <c r="O745" s="12"/>
      <c r="Q745" s="65"/>
      <c r="W745" s="3"/>
      <c r="X745" s="3"/>
    </row>
    <row r="746" spans="1:24" customFormat="1">
      <c r="A746" s="3"/>
      <c r="B746" s="7"/>
      <c r="C746" s="7">
        <v>111</v>
      </c>
      <c r="D746" s="24">
        <f t="shared" si="107"/>
        <v>0</v>
      </c>
      <c r="E746" s="103">
        <f t="shared" si="115"/>
        <v>0</v>
      </c>
      <c r="F746" s="53"/>
      <c r="G746" s="24">
        <f t="shared" si="113"/>
        <v>0</v>
      </c>
      <c r="H746" s="15"/>
      <c r="I746" s="15"/>
      <c r="J746" s="24">
        <f t="shared" si="114"/>
        <v>0</v>
      </c>
      <c r="K746" s="51">
        <f>IF(L746=1,0,IF(SUM(K$635:K745)&gt;=Construction_Timeline,0,1))</f>
        <v>0</v>
      </c>
      <c r="L746" s="13">
        <f t="shared" si="116"/>
        <v>0</v>
      </c>
      <c r="M746" s="54">
        <f t="shared" si="112"/>
        <v>49400</v>
      </c>
      <c r="N746" s="7"/>
      <c r="O746" s="12"/>
      <c r="Q746" s="65"/>
      <c r="W746" s="3"/>
      <c r="X746" s="3"/>
    </row>
    <row r="747" spans="1:24" customFormat="1">
      <c r="A747" s="3"/>
      <c r="B747" s="7"/>
      <c r="C747" s="7">
        <v>112</v>
      </c>
      <c r="D747" s="24">
        <f t="shared" si="107"/>
        <v>0</v>
      </c>
      <c r="E747" s="103">
        <f t="shared" si="115"/>
        <v>0</v>
      </c>
      <c r="F747" s="53"/>
      <c r="G747" s="24">
        <f t="shared" si="113"/>
        <v>0</v>
      </c>
      <c r="H747" s="15"/>
      <c r="I747" s="15"/>
      <c r="J747" s="24">
        <f t="shared" si="114"/>
        <v>0</v>
      </c>
      <c r="K747" s="51">
        <f>IF(L747=1,0,IF(SUM(K$635:K746)&gt;=Construction_Timeline,0,1))</f>
        <v>0</v>
      </c>
      <c r="L747" s="13">
        <f t="shared" si="116"/>
        <v>0</v>
      </c>
      <c r="M747" s="54">
        <f t="shared" si="112"/>
        <v>49430</v>
      </c>
      <c r="N747" s="7"/>
      <c r="O747" s="12"/>
      <c r="Q747" s="65"/>
      <c r="W747" s="3"/>
      <c r="X747" s="3"/>
    </row>
    <row r="748" spans="1:24" customFormat="1">
      <c r="A748" s="3"/>
      <c r="B748" s="7"/>
      <c r="C748" s="7">
        <v>113</v>
      </c>
      <c r="D748" s="24">
        <f t="shared" si="107"/>
        <v>0</v>
      </c>
      <c r="E748" s="103">
        <f t="shared" si="115"/>
        <v>0</v>
      </c>
      <c r="F748" s="53"/>
      <c r="G748" s="24">
        <f t="shared" si="113"/>
        <v>0</v>
      </c>
      <c r="H748" s="15"/>
      <c r="I748" s="15"/>
      <c r="J748" s="24">
        <f t="shared" si="114"/>
        <v>0</v>
      </c>
      <c r="K748" s="51">
        <f>IF(L748=1,0,IF(SUM(K$635:K747)&gt;=Construction_Timeline,0,1))</f>
        <v>0</v>
      </c>
      <c r="L748" s="13">
        <f t="shared" si="116"/>
        <v>0</v>
      </c>
      <c r="M748" s="54">
        <f t="shared" si="112"/>
        <v>49461</v>
      </c>
      <c r="N748" s="7"/>
      <c r="O748" s="12"/>
      <c r="Q748" s="65"/>
      <c r="W748" s="3"/>
      <c r="X748" s="3"/>
    </row>
    <row r="749" spans="1:24" customFormat="1">
      <c r="A749" s="3"/>
      <c r="B749" s="7"/>
      <c r="C749" s="7">
        <v>114</v>
      </c>
      <c r="D749" s="24">
        <f t="shared" si="107"/>
        <v>0</v>
      </c>
      <c r="E749" s="103">
        <f t="shared" si="115"/>
        <v>0</v>
      </c>
      <c r="F749" s="53"/>
      <c r="G749" s="24">
        <f t="shared" si="113"/>
        <v>0</v>
      </c>
      <c r="H749" s="15"/>
      <c r="I749" s="15"/>
      <c r="J749" s="24">
        <f t="shared" si="114"/>
        <v>0</v>
      </c>
      <c r="K749" s="51">
        <f>IF(L749=1,0,IF(SUM(K$635:K748)&gt;=Construction_Timeline,0,1))</f>
        <v>0</v>
      </c>
      <c r="L749" s="13">
        <f t="shared" si="116"/>
        <v>0</v>
      </c>
      <c r="M749" s="54">
        <f t="shared" si="112"/>
        <v>49491</v>
      </c>
      <c r="N749" s="7"/>
      <c r="O749" s="12"/>
      <c r="Q749" s="65"/>
      <c r="W749" s="3"/>
      <c r="X749" s="3"/>
    </row>
    <row r="750" spans="1:24" customFormat="1">
      <c r="A750" s="3"/>
      <c r="B750" s="7"/>
      <c r="C750" s="7">
        <v>115</v>
      </c>
      <c r="D750" s="24">
        <f t="shared" si="107"/>
        <v>0</v>
      </c>
      <c r="E750" s="103">
        <f t="shared" si="115"/>
        <v>0</v>
      </c>
      <c r="F750" s="53"/>
      <c r="G750" s="24">
        <f t="shared" si="113"/>
        <v>0</v>
      </c>
      <c r="H750" s="15"/>
      <c r="I750" s="15"/>
      <c r="J750" s="24">
        <f t="shared" si="114"/>
        <v>0</v>
      </c>
      <c r="K750" s="51">
        <f>IF(L750=1,0,IF(SUM(K$635:K749)&gt;=Construction_Timeline,0,1))</f>
        <v>0</v>
      </c>
      <c r="L750" s="13">
        <f t="shared" si="116"/>
        <v>0</v>
      </c>
      <c r="M750" s="54">
        <f t="shared" si="112"/>
        <v>49522</v>
      </c>
      <c r="N750" s="7"/>
      <c r="O750" s="12"/>
      <c r="Q750" s="65"/>
      <c r="W750" s="3"/>
      <c r="X750" s="3"/>
    </row>
    <row r="751" spans="1:24" customFormat="1">
      <c r="A751" s="3"/>
      <c r="B751" s="7"/>
      <c r="C751" s="7">
        <v>116</v>
      </c>
      <c r="D751" s="24">
        <f t="shared" si="107"/>
        <v>0</v>
      </c>
      <c r="E751" s="103">
        <f t="shared" si="115"/>
        <v>0</v>
      </c>
      <c r="F751" s="53"/>
      <c r="G751" s="24">
        <f t="shared" si="113"/>
        <v>0</v>
      </c>
      <c r="H751" s="15"/>
      <c r="I751" s="15"/>
      <c r="J751" s="24">
        <f t="shared" si="114"/>
        <v>0</v>
      </c>
      <c r="K751" s="51">
        <f>IF(L751=1,0,IF(SUM(K$635:K750)&gt;=Construction_Timeline,0,1))</f>
        <v>0</v>
      </c>
      <c r="L751" s="13">
        <f t="shared" si="116"/>
        <v>0</v>
      </c>
      <c r="M751" s="54">
        <f t="shared" si="112"/>
        <v>49553</v>
      </c>
      <c r="N751" s="7"/>
      <c r="O751" s="12"/>
      <c r="Q751" s="65"/>
      <c r="W751" s="3"/>
      <c r="X751" s="3"/>
    </row>
    <row r="752" spans="1:24" customFormat="1">
      <c r="A752" s="3"/>
      <c r="B752" s="7"/>
      <c r="C752" s="7">
        <v>117</v>
      </c>
      <c r="D752" s="24">
        <f t="shared" si="107"/>
        <v>0</v>
      </c>
      <c r="E752" s="103">
        <f t="shared" si="115"/>
        <v>0</v>
      </c>
      <c r="F752" s="53"/>
      <c r="G752" s="24">
        <f t="shared" si="113"/>
        <v>0</v>
      </c>
      <c r="H752" s="15"/>
      <c r="I752" s="15"/>
      <c r="J752" s="24">
        <f t="shared" si="114"/>
        <v>0</v>
      </c>
      <c r="K752" s="51">
        <f>IF(L752=1,0,IF(SUM(K$635:K751)&gt;=Construction_Timeline,0,1))</f>
        <v>0</v>
      </c>
      <c r="L752" s="13">
        <f t="shared" si="116"/>
        <v>0</v>
      </c>
      <c r="M752" s="54">
        <f t="shared" si="112"/>
        <v>49583</v>
      </c>
      <c r="N752" s="7"/>
      <c r="O752" s="12"/>
      <c r="Q752" s="65"/>
      <c r="W752" s="3"/>
      <c r="X752" s="3"/>
    </row>
    <row r="753" spans="1:24" customFormat="1">
      <c r="A753" s="3"/>
      <c r="B753" s="7"/>
      <c r="C753" s="7">
        <v>118</v>
      </c>
      <c r="D753" s="24">
        <f t="shared" si="107"/>
        <v>0</v>
      </c>
      <c r="E753" s="103">
        <f t="shared" si="115"/>
        <v>0</v>
      </c>
      <c r="F753" s="53"/>
      <c r="G753" s="24">
        <f t="shared" si="113"/>
        <v>0</v>
      </c>
      <c r="H753" s="15"/>
      <c r="I753" s="15"/>
      <c r="J753" s="24">
        <f t="shared" si="114"/>
        <v>0</v>
      </c>
      <c r="K753" s="51">
        <f>IF(L753=1,0,IF(SUM(K$635:K752)&gt;=Construction_Timeline,0,1))</f>
        <v>0</v>
      </c>
      <c r="L753" s="13">
        <f t="shared" si="116"/>
        <v>0</v>
      </c>
      <c r="M753" s="54">
        <f t="shared" si="112"/>
        <v>49614</v>
      </c>
      <c r="N753" s="7"/>
      <c r="O753" s="12"/>
      <c r="Q753" s="65"/>
      <c r="W753" s="3"/>
      <c r="X753" s="3"/>
    </row>
    <row r="754" spans="1:24" customFormat="1">
      <c r="A754" s="3"/>
      <c r="B754" s="7"/>
      <c r="C754" s="7">
        <v>119</v>
      </c>
      <c r="D754" s="24">
        <f t="shared" si="107"/>
        <v>0</v>
      </c>
      <c r="E754" s="103">
        <f t="shared" si="115"/>
        <v>0</v>
      </c>
      <c r="F754" s="53"/>
      <c r="G754" s="24">
        <f t="shared" si="113"/>
        <v>0</v>
      </c>
      <c r="H754" s="15"/>
      <c r="I754" s="15"/>
      <c r="J754" s="24">
        <f t="shared" si="114"/>
        <v>0</v>
      </c>
      <c r="K754" s="51">
        <f>IF(L754=1,0,IF(SUM(K$635:K753)&gt;=Construction_Timeline,0,1))</f>
        <v>0</v>
      </c>
      <c r="L754" s="13">
        <f t="shared" si="116"/>
        <v>0</v>
      </c>
      <c r="M754" s="54">
        <f t="shared" si="112"/>
        <v>49644</v>
      </c>
      <c r="N754" s="7"/>
      <c r="O754" s="12"/>
      <c r="Q754" s="65"/>
      <c r="W754" s="3"/>
      <c r="X754" s="3"/>
    </row>
    <row r="755" spans="1:24" customFormat="1">
      <c r="A755" s="3"/>
      <c r="B755" s="7"/>
      <c r="C755" s="7">
        <v>120</v>
      </c>
      <c r="D755" s="24">
        <f t="shared" si="107"/>
        <v>0</v>
      </c>
      <c r="E755" s="103">
        <f t="shared" si="115"/>
        <v>0</v>
      </c>
      <c r="F755" s="53"/>
      <c r="G755" s="24">
        <f t="shared" si="113"/>
        <v>0</v>
      </c>
      <c r="H755" s="15"/>
      <c r="I755" s="15"/>
      <c r="J755" s="24">
        <f t="shared" si="114"/>
        <v>0</v>
      </c>
      <c r="K755" s="51">
        <f>IF(L755=1,0,IF(SUM(K$635:K754)&gt;=Construction_Timeline,0,1))</f>
        <v>0</v>
      </c>
      <c r="L755" s="13">
        <f t="shared" si="116"/>
        <v>0</v>
      </c>
      <c r="M755" s="54">
        <f t="shared" si="112"/>
        <v>49675</v>
      </c>
      <c r="N755" s="7"/>
      <c r="O755" s="12"/>
      <c r="Q755" s="65"/>
      <c r="W755" s="3"/>
      <c r="X755" s="3"/>
    </row>
    <row r="756" spans="1:24" customFormat="1">
      <c r="A756" s="3"/>
      <c r="B756" s="7"/>
      <c r="C756" s="7">
        <v>121</v>
      </c>
      <c r="D756" s="24">
        <f t="shared" si="107"/>
        <v>0</v>
      </c>
      <c r="E756" s="103">
        <f t="shared" si="115"/>
        <v>0</v>
      </c>
      <c r="F756" s="53"/>
      <c r="G756" s="24">
        <f t="shared" si="113"/>
        <v>0</v>
      </c>
      <c r="H756" s="15"/>
      <c r="I756" s="15"/>
      <c r="J756" s="24">
        <f t="shared" si="114"/>
        <v>0</v>
      </c>
      <c r="K756" s="51">
        <f>IF(L756=1,0,IF(SUM(K$635:K755)&gt;=Construction_Timeline,0,1))</f>
        <v>0</v>
      </c>
      <c r="L756" s="13">
        <f t="shared" si="116"/>
        <v>0</v>
      </c>
      <c r="M756" s="54">
        <f t="shared" si="112"/>
        <v>49706</v>
      </c>
      <c r="N756" s="7"/>
      <c r="O756" s="12"/>
      <c r="Q756" s="65"/>
      <c r="W756" s="3"/>
      <c r="X756" s="3"/>
    </row>
    <row r="757" spans="1:24" customFormat="1">
      <c r="A757" s="3"/>
      <c r="B757" s="7"/>
      <c r="C757" s="7">
        <v>122</v>
      </c>
      <c r="D757" s="24">
        <f t="shared" si="107"/>
        <v>0</v>
      </c>
      <c r="E757" s="103">
        <f t="shared" si="115"/>
        <v>0</v>
      </c>
      <c r="F757" s="53"/>
      <c r="G757" s="24">
        <f t="shared" si="113"/>
        <v>0</v>
      </c>
      <c r="H757" s="15"/>
      <c r="I757" s="15"/>
      <c r="J757" s="24">
        <f t="shared" si="114"/>
        <v>0</v>
      </c>
      <c r="K757" s="51">
        <f>IF(L757=1,0,IF(SUM(K$635:K756)&gt;=Construction_Timeline,0,1))</f>
        <v>0</v>
      </c>
      <c r="L757" s="13">
        <f t="shared" si="116"/>
        <v>0</v>
      </c>
      <c r="M757" s="54">
        <f t="shared" si="112"/>
        <v>49735</v>
      </c>
      <c r="N757" s="7"/>
      <c r="O757" s="12"/>
      <c r="Q757" s="65"/>
      <c r="W757" s="3"/>
      <c r="X757" s="3"/>
    </row>
    <row r="758" spans="1:24" customFormat="1">
      <c r="A758" s="3"/>
      <c r="B758" s="7"/>
      <c r="C758" s="7">
        <v>123</v>
      </c>
      <c r="D758" s="24">
        <f t="shared" si="107"/>
        <v>0</v>
      </c>
      <c r="E758" s="103">
        <f t="shared" si="115"/>
        <v>0</v>
      </c>
      <c r="F758" s="53"/>
      <c r="G758" s="24">
        <f t="shared" si="113"/>
        <v>0</v>
      </c>
      <c r="H758" s="15"/>
      <c r="I758" s="15"/>
      <c r="J758" s="24">
        <f t="shared" si="114"/>
        <v>0</v>
      </c>
      <c r="K758" s="51">
        <f>IF(L758=1,0,IF(SUM(K$635:K757)&gt;=Construction_Timeline,0,1))</f>
        <v>0</v>
      </c>
      <c r="L758" s="13">
        <f t="shared" si="116"/>
        <v>0</v>
      </c>
      <c r="M758" s="54">
        <f t="shared" si="112"/>
        <v>49766</v>
      </c>
      <c r="N758" s="7"/>
      <c r="O758" s="12"/>
      <c r="Q758" s="65"/>
      <c r="W758" s="3"/>
      <c r="X758" s="3"/>
    </row>
    <row r="759" spans="1:24" customFormat="1">
      <c r="A759" s="3"/>
      <c r="B759" s="7"/>
      <c r="C759" s="7">
        <v>124</v>
      </c>
      <c r="D759" s="24">
        <f t="shared" si="107"/>
        <v>0</v>
      </c>
      <c r="E759" s="103">
        <f t="shared" si="115"/>
        <v>0</v>
      </c>
      <c r="F759" s="53"/>
      <c r="G759" s="24">
        <f t="shared" si="113"/>
        <v>0</v>
      </c>
      <c r="H759" s="15"/>
      <c r="I759" s="15"/>
      <c r="J759" s="24">
        <f t="shared" si="114"/>
        <v>0</v>
      </c>
      <c r="K759" s="51">
        <f>IF(L759=1,0,IF(SUM(K$635:K758)&gt;=Construction_Timeline,0,1))</f>
        <v>0</v>
      </c>
      <c r="L759" s="13">
        <f t="shared" si="116"/>
        <v>0</v>
      </c>
      <c r="M759" s="54">
        <f t="shared" si="112"/>
        <v>49796</v>
      </c>
      <c r="N759" s="7"/>
      <c r="O759" s="12"/>
      <c r="Q759" s="65"/>
      <c r="W759" s="3"/>
      <c r="X759" s="3"/>
    </row>
    <row r="760" spans="1:24" customFormat="1">
      <c r="A760" s="3"/>
      <c r="B760" s="7"/>
      <c r="C760" s="7">
        <v>125</v>
      </c>
      <c r="D760" s="24">
        <f t="shared" si="107"/>
        <v>0</v>
      </c>
      <c r="E760" s="103">
        <f t="shared" si="115"/>
        <v>0</v>
      </c>
      <c r="F760" s="53"/>
      <c r="G760" s="24">
        <f t="shared" si="113"/>
        <v>0</v>
      </c>
      <c r="H760" s="15"/>
      <c r="I760" s="15"/>
      <c r="J760" s="24">
        <f t="shared" si="114"/>
        <v>0</v>
      </c>
      <c r="K760" s="51">
        <f>IF(L760=1,0,IF(SUM(K$635:K759)&gt;=Construction_Timeline,0,1))</f>
        <v>0</v>
      </c>
      <c r="L760" s="13">
        <f t="shared" si="116"/>
        <v>0</v>
      </c>
      <c r="M760" s="54">
        <f t="shared" si="112"/>
        <v>49827</v>
      </c>
      <c r="N760" s="7"/>
      <c r="O760" s="12"/>
      <c r="Q760" s="65"/>
      <c r="W760" s="3"/>
      <c r="X760" s="3"/>
    </row>
    <row r="761" spans="1:24" customFormat="1">
      <c r="A761" s="3"/>
      <c r="B761" s="7"/>
      <c r="C761" s="7">
        <v>126</v>
      </c>
      <c r="D761" s="24">
        <f t="shared" si="107"/>
        <v>0</v>
      </c>
      <c r="E761" s="103">
        <f t="shared" si="115"/>
        <v>0</v>
      </c>
      <c r="F761" s="53"/>
      <c r="G761" s="24">
        <f t="shared" si="113"/>
        <v>0</v>
      </c>
      <c r="H761" s="15"/>
      <c r="I761" s="15"/>
      <c r="J761" s="24">
        <f t="shared" si="114"/>
        <v>0</v>
      </c>
      <c r="K761" s="51">
        <f>IF(L761=1,0,IF(SUM(K$635:K760)&gt;=Construction_Timeline,0,1))</f>
        <v>0</v>
      </c>
      <c r="L761" s="13">
        <f t="shared" si="116"/>
        <v>0</v>
      </c>
      <c r="M761" s="54">
        <f t="shared" si="112"/>
        <v>49857</v>
      </c>
      <c r="N761" s="7"/>
      <c r="O761" s="12"/>
      <c r="Q761" s="65"/>
      <c r="W761" s="3"/>
      <c r="X761" s="3"/>
    </row>
    <row r="762" spans="1:24" customFormat="1">
      <c r="A762" s="3"/>
      <c r="B762" s="7"/>
      <c r="C762" s="7">
        <v>127</v>
      </c>
      <c r="D762" s="24">
        <f t="shared" si="107"/>
        <v>0</v>
      </c>
      <c r="E762" s="103">
        <f t="shared" si="115"/>
        <v>0</v>
      </c>
      <c r="F762" s="53"/>
      <c r="G762" s="24">
        <f t="shared" si="113"/>
        <v>0</v>
      </c>
      <c r="H762" s="15"/>
      <c r="I762" s="15"/>
      <c r="J762" s="24">
        <f t="shared" si="114"/>
        <v>0</v>
      </c>
      <c r="K762" s="51">
        <f>IF(L762=1,0,IF(SUM(K$635:K761)&gt;=Construction_Timeline,0,1))</f>
        <v>0</v>
      </c>
      <c r="L762" s="13">
        <f t="shared" si="116"/>
        <v>0</v>
      </c>
      <c r="M762" s="54">
        <f t="shared" si="112"/>
        <v>49888</v>
      </c>
      <c r="N762" s="7"/>
      <c r="O762" s="12"/>
      <c r="Q762" s="65"/>
      <c r="W762" s="3"/>
      <c r="X762" s="3"/>
    </row>
    <row r="763" spans="1:24" customFormat="1">
      <c r="A763" s="3"/>
      <c r="B763" s="7"/>
      <c r="C763" s="7">
        <v>128</v>
      </c>
      <c r="D763" s="24">
        <f t="shared" ref="D763:D815" si="117">IF(K763=1,-Construction_Costs/Construction_Timeline,0)</f>
        <v>0</v>
      </c>
      <c r="E763" s="103">
        <f t="shared" si="115"/>
        <v>0</v>
      </c>
      <c r="F763" s="53"/>
      <c r="G763" s="24">
        <f t="shared" ref="G763:G794" si="118">IF(C763=SUM(Month_of_Sale,PreDev_Timeline,Construction_Timeline),Incentive_Sales_Price*(1-D$64),0)</f>
        <v>0</v>
      </c>
      <c r="H763" s="15"/>
      <c r="I763" s="15"/>
      <c r="J763" s="24">
        <f t="shared" ref="J763:J794" si="119">SUM(D763:G763)</f>
        <v>0</v>
      </c>
      <c r="K763" s="51">
        <f>IF(L763=1,0,IF(SUM(K$635:K762)&gt;=Construction_Timeline,0,1))</f>
        <v>0</v>
      </c>
      <c r="L763" s="13">
        <f t="shared" si="116"/>
        <v>0</v>
      </c>
      <c r="M763" s="54">
        <f t="shared" si="112"/>
        <v>49919</v>
      </c>
      <c r="N763" s="7"/>
      <c r="O763" s="12"/>
      <c r="Q763" s="65"/>
      <c r="W763" s="3"/>
      <c r="X763" s="3"/>
    </row>
    <row r="764" spans="1:24" customFormat="1">
      <c r="A764" s="3"/>
      <c r="B764" s="7"/>
      <c r="C764" s="7">
        <v>129</v>
      </c>
      <c r="D764" s="24">
        <f t="shared" si="117"/>
        <v>0</v>
      </c>
      <c r="E764" s="103">
        <f t="shared" ref="E764:E795" si="120">-Incentive_Pre_Development_Costs/PreDev_Timeline*L764</f>
        <v>0</v>
      </c>
      <c r="F764" s="53"/>
      <c r="G764" s="24">
        <f t="shared" si="118"/>
        <v>0</v>
      </c>
      <c r="H764" s="15"/>
      <c r="I764" s="15"/>
      <c r="J764" s="24">
        <f t="shared" si="119"/>
        <v>0</v>
      </c>
      <c r="K764" s="51">
        <f>IF(L764=1,0,IF(SUM(K$635:K763)&gt;=Construction_Timeline,0,1))</f>
        <v>0</v>
      </c>
      <c r="L764" s="13">
        <f t="shared" ref="L764:L795" si="121">IF(C764&lt;=PreDev_Timeline,1,0)</f>
        <v>0</v>
      </c>
      <c r="M764" s="54">
        <f t="shared" si="112"/>
        <v>49949</v>
      </c>
      <c r="N764" s="7"/>
      <c r="O764" s="12"/>
      <c r="Q764" s="65"/>
      <c r="W764" s="3"/>
      <c r="X764" s="3"/>
    </row>
    <row r="765" spans="1:24" customFormat="1">
      <c r="A765" s="3"/>
      <c r="B765" s="7"/>
      <c r="C765" s="7">
        <v>130</v>
      </c>
      <c r="D765" s="24">
        <f t="shared" si="117"/>
        <v>0</v>
      </c>
      <c r="E765" s="103">
        <f t="shared" si="120"/>
        <v>0</v>
      </c>
      <c r="F765" s="53"/>
      <c r="G765" s="24">
        <f t="shared" si="118"/>
        <v>0</v>
      </c>
      <c r="H765" s="15"/>
      <c r="I765" s="15"/>
      <c r="J765" s="24">
        <f t="shared" si="119"/>
        <v>0</v>
      </c>
      <c r="K765" s="51">
        <f>IF(L765=1,0,IF(SUM(K$635:K764)&gt;=Construction_Timeline,0,1))</f>
        <v>0</v>
      </c>
      <c r="L765" s="13">
        <f t="shared" si="121"/>
        <v>0</v>
      </c>
      <c r="M765" s="54">
        <f t="shared" ref="M765:M815" si="122">EDATE(M764,1)</f>
        <v>49980</v>
      </c>
      <c r="N765" s="7"/>
      <c r="O765" s="12"/>
      <c r="Q765" s="65"/>
      <c r="W765" s="3"/>
      <c r="X765" s="3"/>
    </row>
    <row r="766" spans="1:24" customFormat="1">
      <c r="A766" s="3"/>
      <c r="B766" s="7"/>
      <c r="C766" s="7">
        <v>131</v>
      </c>
      <c r="D766" s="24">
        <f t="shared" si="117"/>
        <v>0</v>
      </c>
      <c r="E766" s="103">
        <f t="shared" si="120"/>
        <v>0</v>
      </c>
      <c r="F766" s="53"/>
      <c r="G766" s="24">
        <f t="shared" si="118"/>
        <v>0</v>
      </c>
      <c r="H766" s="15"/>
      <c r="I766" s="15"/>
      <c r="J766" s="24">
        <f t="shared" si="119"/>
        <v>0</v>
      </c>
      <c r="K766" s="51">
        <f>IF(L766=1,0,IF(SUM(K$635:K765)&gt;=Construction_Timeline,0,1))</f>
        <v>0</v>
      </c>
      <c r="L766" s="13">
        <f t="shared" si="121"/>
        <v>0</v>
      </c>
      <c r="M766" s="54">
        <f t="shared" si="122"/>
        <v>50010</v>
      </c>
      <c r="N766" s="7"/>
      <c r="O766" s="12"/>
      <c r="Q766" s="65"/>
      <c r="W766" s="3"/>
      <c r="X766" s="3"/>
    </row>
    <row r="767" spans="1:24" customFormat="1">
      <c r="A767" s="3"/>
      <c r="B767" s="7"/>
      <c r="C767" s="7">
        <v>132</v>
      </c>
      <c r="D767" s="24">
        <f t="shared" si="117"/>
        <v>0</v>
      </c>
      <c r="E767" s="103">
        <f t="shared" si="120"/>
        <v>0</v>
      </c>
      <c r="F767" s="53"/>
      <c r="G767" s="24">
        <f t="shared" si="118"/>
        <v>0</v>
      </c>
      <c r="H767" s="15"/>
      <c r="I767" s="15"/>
      <c r="J767" s="24">
        <f t="shared" si="119"/>
        <v>0</v>
      </c>
      <c r="K767" s="51">
        <f>IF(L767=1,0,IF(SUM(K$635:K766)&gt;=Construction_Timeline,0,1))</f>
        <v>0</v>
      </c>
      <c r="L767" s="13">
        <f t="shared" si="121"/>
        <v>0</v>
      </c>
      <c r="M767" s="54">
        <f t="shared" si="122"/>
        <v>50041</v>
      </c>
      <c r="N767" s="7"/>
      <c r="O767" s="12"/>
      <c r="Q767" s="65"/>
      <c r="W767" s="3"/>
      <c r="X767" s="3"/>
    </row>
    <row r="768" spans="1:24" customFormat="1">
      <c r="A768" s="3"/>
      <c r="B768" s="7"/>
      <c r="C768" s="7">
        <v>133</v>
      </c>
      <c r="D768" s="24">
        <f t="shared" si="117"/>
        <v>0</v>
      </c>
      <c r="E768" s="103">
        <f t="shared" si="120"/>
        <v>0</v>
      </c>
      <c r="F768" s="53"/>
      <c r="G768" s="24">
        <f t="shared" si="118"/>
        <v>0</v>
      </c>
      <c r="H768" s="15"/>
      <c r="I768" s="15"/>
      <c r="J768" s="24">
        <f t="shared" si="119"/>
        <v>0</v>
      </c>
      <c r="K768" s="51">
        <f>IF(L768=1,0,IF(SUM(K$635:K767)&gt;=Construction_Timeline,0,1))</f>
        <v>0</v>
      </c>
      <c r="L768" s="13">
        <f t="shared" si="121"/>
        <v>0</v>
      </c>
      <c r="M768" s="54">
        <f t="shared" si="122"/>
        <v>50072</v>
      </c>
      <c r="N768" s="7"/>
      <c r="O768" s="12"/>
      <c r="Q768" s="65"/>
      <c r="W768" s="3"/>
      <c r="X768" s="3"/>
    </row>
    <row r="769" spans="1:24" customFormat="1">
      <c r="A769" s="3"/>
      <c r="B769" s="7"/>
      <c r="C769" s="7">
        <v>134</v>
      </c>
      <c r="D769" s="24">
        <f t="shared" si="117"/>
        <v>0</v>
      </c>
      <c r="E769" s="103">
        <f t="shared" si="120"/>
        <v>0</v>
      </c>
      <c r="F769" s="53"/>
      <c r="G769" s="24">
        <f t="shared" si="118"/>
        <v>0</v>
      </c>
      <c r="H769" s="15"/>
      <c r="I769" s="15"/>
      <c r="J769" s="24">
        <f t="shared" si="119"/>
        <v>0</v>
      </c>
      <c r="K769" s="51">
        <f>IF(L769=1,0,IF(SUM(K$635:K768)&gt;=Construction_Timeline,0,1))</f>
        <v>0</v>
      </c>
      <c r="L769" s="13">
        <f t="shared" si="121"/>
        <v>0</v>
      </c>
      <c r="M769" s="54">
        <f t="shared" si="122"/>
        <v>50100</v>
      </c>
      <c r="N769" s="7"/>
      <c r="O769" s="12"/>
      <c r="Q769" s="65"/>
      <c r="W769" s="3"/>
      <c r="X769" s="3"/>
    </row>
    <row r="770" spans="1:24" customFormat="1">
      <c r="A770" s="3"/>
      <c r="B770" s="7"/>
      <c r="C770" s="7">
        <v>135</v>
      </c>
      <c r="D770" s="24">
        <f t="shared" si="117"/>
        <v>0</v>
      </c>
      <c r="E770" s="103">
        <f t="shared" si="120"/>
        <v>0</v>
      </c>
      <c r="F770" s="53"/>
      <c r="G770" s="24">
        <f t="shared" si="118"/>
        <v>0</v>
      </c>
      <c r="H770" s="15"/>
      <c r="I770" s="15"/>
      <c r="J770" s="24">
        <f t="shared" si="119"/>
        <v>0</v>
      </c>
      <c r="K770" s="51">
        <f>IF(L770=1,0,IF(SUM(K$635:K769)&gt;=Construction_Timeline,0,1))</f>
        <v>0</v>
      </c>
      <c r="L770" s="13">
        <f t="shared" si="121"/>
        <v>0</v>
      </c>
      <c r="M770" s="54">
        <f t="shared" si="122"/>
        <v>50131</v>
      </c>
      <c r="N770" s="7"/>
      <c r="O770" s="12"/>
      <c r="Q770" s="65"/>
      <c r="W770" s="3"/>
      <c r="X770" s="3"/>
    </row>
    <row r="771" spans="1:24" customFormat="1">
      <c r="A771" s="3"/>
      <c r="B771" s="7"/>
      <c r="C771" s="7">
        <v>136</v>
      </c>
      <c r="D771" s="24">
        <f t="shared" si="117"/>
        <v>0</v>
      </c>
      <c r="E771" s="103">
        <f t="shared" si="120"/>
        <v>0</v>
      </c>
      <c r="F771" s="53"/>
      <c r="G771" s="24">
        <f t="shared" si="118"/>
        <v>0</v>
      </c>
      <c r="H771" s="15"/>
      <c r="I771" s="15"/>
      <c r="J771" s="24">
        <f t="shared" si="119"/>
        <v>0</v>
      </c>
      <c r="K771" s="51">
        <f>IF(L771=1,0,IF(SUM(K$635:K770)&gt;=Construction_Timeline,0,1))</f>
        <v>0</v>
      </c>
      <c r="L771" s="13">
        <f t="shared" si="121"/>
        <v>0</v>
      </c>
      <c r="M771" s="54">
        <f t="shared" si="122"/>
        <v>50161</v>
      </c>
      <c r="N771" s="7"/>
      <c r="O771" s="12"/>
      <c r="Q771" s="65"/>
      <c r="W771" s="3"/>
      <c r="X771" s="3"/>
    </row>
    <row r="772" spans="1:24" customFormat="1">
      <c r="A772" s="3"/>
      <c r="B772" s="7"/>
      <c r="C772" s="7">
        <v>137</v>
      </c>
      <c r="D772" s="24">
        <f t="shared" si="117"/>
        <v>0</v>
      </c>
      <c r="E772" s="103">
        <f t="shared" si="120"/>
        <v>0</v>
      </c>
      <c r="F772" s="53"/>
      <c r="G772" s="24">
        <f t="shared" si="118"/>
        <v>0</v>
      </c>
      <c r="H772" s="15"/>
      <c r="I772" s="15"/>
      <c r="J772" s="24">
        <f t="shared" si="119"/>
        <v>0</v>
      </c>
      <c r="K772" s="51">
        <f>IF(L772=1,0,IF(SUM(K$635:K771)&gt;=Construction_Timeline,0,1))</f>
        <v>0</v>
      </c>
      <c r="L772" s="13">
        <f t="shared" si="121"/>
        <v>0</v>
      </c>
      <c r="M772" s="54">
        <f t="shared" si="122"/>
        <v>50192</v>
      </c>
      <c r="N772" s="7"/>
      <c r="O772" s="12"/>
      <c r="Q772" s="65"/>
      <c r="W772" s="3"/>
      <c r="X772" s="3"/>
    </row>
    <row r="773" spans="1:24" customFormat="1">
      <c r="A773" s="3"/>
      <c r="B773" s="7"/>
      <c r="C773" s="7">
        <v>138</v>
      </c>
      <c r="D773" s="24">
        <f t="shared" si="117"/>
        <v>0</v>
      </c>
      <c r="E773" s="103">
        <f t="shared" si="120"/>
        <v>0</v>
      </c>
      <c r="F773" s="53"/>
      <c r="G773" s="24">
        <f t="shared" si="118"/>
        <v>0</v>
      </c>
      <c r="H773" s="15"/>
      <c r="I773" s="15"/>
      <c r="J773" s="24">
        <f t="shared" si="119"/>
        <v>0</v>
      </c>
      <c r="K773" s="51">
        <f>IF(L773=1,0,IF(SUM(K$635:K772)&gt;=Construction_Timeline,0,1))</f>
        <v>0</v>
      </c>
      <c r="L773" s="13">
        <f t="shared" si="121"/>
        <v>0</v>
      </c>
      <c r="M773" s="54">
        <f t="shared" si="122"/>
        <v>50222</v>
      </c>
      <c r="N773" s="7"/>
      <c r="O773" s="12"/>
      <c r="Q773" s="65"/>
      <c r="W773" s="3"/>
      <c r="X773" s="3"/>
    </row>
    <row r="774" spans="1:24" customFormat="1">
      <c r="A774" s="3"/>
      <c r="B774" s="7"/>
      <c r="C774" s="7">
        <v>139</v>
      </c>
      <c r="D774" s="24">
        <f t="shared" si="117"/>
        <v>0</v>
      </c>
      <c r="E774" s="103">
        <f t="shared" si="120"/>
        <v>0</v>
      </c>
      <c r="F774" s="53"/>
      <c r="G774" s="24">
        <f t="shared" si="118"/>
        <v>0</v>
      </c>
      <c r="H774" s="15"/>
      <c r="I774" s="15"/>
      <c r="J774" s="24">
        <f t="shared" si="119"/>
        <v>0</v>
      </c>
      <c r="K774" s="51">
        <f>IF(L774=1,0,IF(SUM(K$635:K773)&gt;=Construction_Timeline,0,1))</f>
        <v>0</v>
      </c>
      <c r="L774" s="13">
        <f t="shared" si="121"/>
        <v>0</v>
      </c>
      <c r="M774" s="54">
        <f t="shared" si="122"/>
        <v>50253</v>
      </c>
      <c r="N774" s="7"/>
      <c r="O774" s="12"/>
      <c r="Q774" s="65"/>
      <c r="W774" s="3"/>
      <c r="X774" s="3"/>
    </row>
    <row r="775" spans="1:24" customFormat="1">
      <c r="A775" s="3"/>
      <c r="B775" s="7"/>
      <c r="C775" s="7">
        <v>140</v>
      </c>
      <c r="D775" s="24">
        <f t="shared" si="117"/>
        <v>0</v>
      </c>
      <c r="E775" s="103">
        <f t="shared" si="120"/>
        <v>0</v>
      </c>
      <c r="F775" s="53"/>
      <c r="G775" s="24">
        <f t="shared" si="118"/>
        <v>0</v>
      </c>
      <c r="H775" s="15"/>
      <c r="I775" s="15"/>
      <c r="J775" s="24">
        <f t="shared" si="119"/>
        <v>0</v>
      </c>
      <c r="K775" s="51">
        <f>IF(L775=1,0,IF(SUM(K$635:K774)&gt;=Construction_Timeline,0,1))</f>
        <v>0</v>
      </c>
      <c r="L775" s="13">
        <f t="shared" si="121"/>
        <v>0</v>
      </c>
      <c r="M775" s="54">
        <f t="shared" si="122"/>
        <v>50284</v>
      </c>
      <c r="N775" s="7"/>
      <c r="O775" s="12"/>
      <c r="Q775" s="65"/>
      <c r="W775" s="3"/>
      <c r="X775" s="3"/>
    </row>
    <row r="776" spans="1:24" customFormat="1">
      <c r="A776" s="3"/>
      <c r="B776" s="7"/>
      <c r="C776" s="7">
        <v>141</v>
      </c>
      <c r="D776" s="24">
        <f t="shared" si="117"/>
        <v>0</v>
      </c>
      <c r="E776" s="103">
        <f t="shared" si="120"/>
        <v>0</v>
      </c>
      <c r="F776" s="53"/>
      <c r="G776" s="24">
        <f t="shared" si="118"/>
        <v>0</v>
      </c>
      <c r="H776" s="15"/>
      <c r="I776" s="15"/>
      <c r="J776" s="24">
        <f t="shared" si="119"/>
        <v>0</v>
      </c>
      <c r="K776" s="51">
        <f>IF(L776=1,0,IF(SUM(K$635:K775)&gt;=Construction_Timeline,0,1))</f>
        <v>0</v>
      </c>
      <c r="L776" s="13">
        <f t="shared" si="121"/>
        <v>0</v>
      </c>
      <c r="M776" s="54">
        <f t="shared" si="122"/>
        <v>50314</v>
      </c>
      <c r="N776" s="7"/>
      <c r="O776" s="12"/>
      <c r="Q776" s="65"/>
      <c r="W776" s="3"/>
      <c r="X776" s="3"/>
    </row>
    <row r="777" spans="1:24" customFormat="1">
      <c r="A777" s="3"/>
      <c r="B777" s="7"/>
      <c r="C777" s="7">
        <v>142</v>
      </c>
      <c r="D777" s="24">
        <f t="shared" si="117"/>
        <v>0</v>
      </c>
      <c r="E777" s="103">
        <f t="shared" si="120"/>
        <v>0</v>
      </c>
      <c r="F777" s="53"/>
      <c r="G777" s="24">
        <f t="shared" si="118"/>
        <v>0</v>
      </c>
      <c r="H777" s="15"/>
      <c r="I777" s="15"/>
      <c r="J777" s="24">
        <f t="shared" si="119"/>
        <v>0</v>
      </c>
      <c r="K777" s="51">
        <f>IF(L777=1,0,IF(SUM(K$635:K776)&gt;=Construction_Timeline,0,1))</f>
        <v>0</v>
      </c>
      <c r="L777" s="13">
        <f t="shared" si="121"/>
        <v>0</v>
      </c>
      <c r="M777" s="54">
        <f t="shared" si="122"/>
        <v>50345</v>
      </c>
      <c r="N777" s="7"/>
      <c r="O777" s="12"/>
      <c r="Q777" s="65"/>
      <c r="W777" s="3"/>
      <c r="X777" s="3"/>
    </row>
    <row r="778" spans="1:24" customFormat="1">
      <c r="A778" s="3"/>
      <c r="B778" s="7"/>
      <c r="C778" s="7">
        <v>143</v>
      </c>
      <c r="D778" s="24">
        <f t="shared" si="117"/>
        <v>0</v>
      </c>
      <c r="E778" s="103">
        <f t="shared" si="120"/>
        <v>0</v>
      </c>
      <c r="F778" s="53"/>
      <c r="G778" s="24">
        <f t="shared" si="118"/>
        <v>0</v>
      </c>
      <c r="H778" s="15"/>
      <c r="I778" s="15"/>
      <c r="J778" s="24">
        <f t="shared" si="119"/>
        <v>0</v>
      </c>
      <c r="K778" s="51">
        <f>IF(L778=1,0,IF(SUM(K$635:K777)&gt;=Construction_Timeline,0,1))</f>
        <v>0</v>
      </c>
      <c r="L778" s="13">
        <f t="shared" si="121"/>
        <v>0</v>
      </c>
      <c r="M778" s="54">
        <f t="shared" si="122"/>
        <v>50375</v>
      </c>
      <c r="N778" s="7"/>
      <c r="O778" s="12"/>
      <c r="Q778" s="65"/>
      <c r="W778" s="3"/>
      <c r="X778" s="3"/>
    </row>
    <row r="779" spans="1:24" customFormat="1">
      <c r="A779" s="3"/>
      <c r="B779" s="7"/>
      <c r="C779" s="7">
        <v>144</v>
      </c>
      <c r="D779" s="24">
        <f t="shared" si="117"/>
        <v>0</v>
      </c>
      <c r="E779" s="103">
        <f t="shared" si="120"/>
        <v>0</v>
      </c>
      <c r="F779" s="53"/>
      <c r="G779" s="24">
        <f t="shared" si="118"/>
        <v>0</v>
      </c>
      <c r="H779" s="15"/>
      <c r="I779" s="15"/>
      <c r="J779" s="24">
        <f t="shared" si="119"/>
        <v>0</v>
      </c>
      <c r="K779" s="51">
        <f>IF(L779=1,0,IF(SUM(K$635:K778)&gt;=Construction_Timeline,0,1))</f>
        <v>0</v>
      </c>
      <c r="L779" s="13">
        <f t="shared" si="121"/>
        <v>0</v>
      </c>
      <c r="M779" s="54">
        <f t="shared" si="122"/>
        <v>50406</v>
      </c>
      <c r="N779" s="7"/>
      <c r="O779" s="12"/>
      <c r="Q779" s="65"/>
      <c r="W779" s="3"/>
      <c r="X779" s="3"/>
    </row>
    <row r="780" spans="1:24" customFormat="1">
      <c r="A780" s="3"/>
      <c r="B780" s="7"/>
      <c r="C780" s="7">
        <v>145</v>
      </c>
      <c r="D780" s="24">
        <f t="shared" si="117"/>
        <v>0</v>
      </c>
      <c r="E780" s="103">
        <f t="shared" si="120"/>
        <v>0</v>
      </c>
      <c r="F780" s="53"/>
      <c r="G780" s="24">
        <f t="shared" si="118"/>
        <v>0</v>
      </c>
      <c r="H780" s="15"/>
      <c r="I780" s="15"/>
      <c r="J780" s="24">
        <f t="shared" si="119"/>
        <v>0</v>
      </c>
      <c r="K780" s="51">
        <f>IF(L780=1,0,IF(SUM(K$635:K779)&gt;=Construction_Timeline,0,1))</f>
        <v>0</v>
      </c>
      <c r="L780" s="13">
        <f t="shared" si="121"/>
        <v>0</v>
      </c>
      <c r="M780" s="54">
        <f t="shared" si="122"/>
        <v>50437</v>
      </c>
      <c r="N780" s="7"/>
      <c r="O780" s="12"/>
      <c r="Q780" s="65"/>
      <c r="W780" s="3"/>
      <c r="X780" s="3"/>
    </row>
    <row r="781" spans="1:24" customFormat="1">
      <c r="A781" s="3"/>
      <c r="B781" s="7"/>
      <c r="C781" s="7">
        <v>146</v>
      </c>
      <c r="D781" s="24">
        <f t="shared" si="117"/>
        <v>0</v>
      </c>
      <c r="E781" s="103">
        <f t="shared" si="120"/>
        <v>0</v>
      </c>
      <c r="F781" s="53"/>
      <c r="G781" s="24">
        <f t="shared" si="118"/>
        <v>0</v>
      </c>
      <c r="H781" s="15"/>
      <c r="I781" s="15"/>
      <c r="J781" s="24">
        <f t="shared" si="119"/>
        <v>0</v>
      </c>
      <c r="K781" s="51">
        <f>IF(L781=1,0,IF(SUM(K$635:K780)&gt;=Construction_Timeline,0,1))</f>
        <v>0</v>
      </c>
      <c r="L781" s="13">
        <f t="shared" si="121"/>
        <v>0</v>
      </c>
      <c r="M781" s="54">
        <f t="shared" si="122"/>
        <v>50465</v>
      </c>
      <c r="N781" s="7"/>
      <c r="O781" s="12"/>
      <c r="Q781" s="65"/>
      <c r="W781" s="3"/>
      <c r="X781" s="3"/>
    </row>
    <row r="782" spans="1:24" customFormat="1">
      <c r="A782" s="3"/>
      <c r="B782" s="7"/>
      <c r="C782" s="7">
        <v>147</v>
      </c>
      <c r="D782" s="24">
        <f t="shared" si="117"/>
        <v>0</v>
      </c>
      <c r="E782" s="103">
        <f t="shared" si="120"/>
        <v>0</v>
      </c>
      <c r="F782" s="53"/>
      <c r="G782" s="24">
        <f t="shared" si="118"/>
        <v>0</v>
      </c>
      <c r="H782" s="15"/>
      <c r="I782" s="15"/>
      <c r="J782" s="24">
        <f t="shared" si="119"/>
        <v>0</v>
      </c>
      <c r="K782" s="51">
        <f>IF(L782=1,0,IF(SUM(K$635:K781)&gt;=Construction_Timeline,0,1))</f>
        <v>0</v>
      </c>
      <c r="L782" s="13">
        <f t="shared" si="121"/>
        <v>0</v>
      </c>
      <c r="M782" s="54">
        <f t="shared" si="122"/>
        <v>50496</v>
      </c>
      <c r="N782" s="7"/>
      <c r="O782" s="12"/>
      <c r="Q782" s="65"/>
      <c r="W782" s="3"/>
      <c r="X782" s="3"/>
    </row>
    <row r="783" spans="1:24" customFormat="1">
      <c r="A783" s="3"/>
      <c r="B783" s="7"/>
      <c r="C783" s="7">
        <v>148</v>
      </c>
      <c r="D783" s="24">
        <f t="shared" si="117"/>
        <v>0</v>
      </c>
      <c r="E783" s="103">
        <f t="shared" si="120"/>
        <v>0</v>
      </c>
      <c r="F783" s="53"/>
      <c r="G783" s="24">
        <f t="shared" si="118"/>
        <v>0</v>
      </c>
      <c r="H783" s="15"/>
      <c r="I783" s="15"/>
      <c r="J783" s="24">
        <f t="shared" si="119"/>
        <v>0</v>
      </c>
      <c r="K783" s="51">
        <f>IF(L783=1,0,IF(SUM(K$635:K782)&gt;=Construction_Timeline,0,1))</f>
        <v>0</v>
      </c>
      <c r="L783" s="13">
        <f t="shared" si="121"/>
        <v>0</v>
      </c>
      <c r="M783" s="54">
        <f t="shared" si="122"/>
        <v>50526</v>
      </c>
      <c r="N783" s="7"/>
      <c r="O783" s="12"/>
      <c r="Q783" s="65"/>
      <c r="W783" s="3"/>
      <c r="X783" s="3"/>
    </row>
    <row r="784" spans="1:24" customFormat="1">
      <c r="A784" s="3"/>
      <c r="B784" s="7"/>
      <c r="C784" s="7">
        <v>149</v>
      </c>
      <c r="D784" s="24">
        <f t="shared" si="117"/>
        <v>0</v>
      </c>
      <c r="E784" s="103">
        <f t="shared" si="120"/>
        <v>0</v>
      </c>
      <c r="F784" s="53"/>
      <c r="G784" s="24">
        <f t="shared" si="118"/>
        <v>0</v>
      </c>
      <c r="H784" s="15"/>
      <c r="I784" s="15"/>
      <c r="J784" s="24">
        <f t="shared" si="119"/>
        <v>0</v>
      </c>
      <c r="K784" s="51">
        <f>IF(L784=1,0,IF(SUM(K$635:K783)&gt;=Construction_Timeline,0,1))</f>
        <v>0</v>
      </c>
      <c r="L784" s="13">
        <f t="shared" si="121"/>
        <v>0</v>
      </c>
      <c r="M784" s="54">
        <f t="shared" si="122"/>
        <v>50557</v>
      </c>
      <c r="N784" s="7"/>
      <c r="O784" s="12"/>
      <c r="Q784" s="65"/>
      <c r="W784" s="3"/>
      <c r="X784" s="3"/>
    </row>
    <row r="785" spans="1:24" customFormat="1">
      <c r="A785" s="3"/>
      <c r="B785" s="7"/>
      <c r="C785" s="7">
        <v>150</v>
      </c>
      <c r="D785" s="24">
        <f t="shared" si="117"/>
        <v>0</v>
      </c>
      <c r="E785" s="103">
        <f t="shared" si="120"/>
        <v>0</v>
      </c>
      <c r="F785" s="53"/>
      <c r="G785" s="24">
        <f t="shared" si="118"/>
        <v>0</v>
      </c>
      <c r="H785" s="15"/>
      <c r="I785" s="15"/>
      <c r="J785" s="24">
        <f t="shared" si="119"/>
        <v>0</v>
      </c>
      <c r="K785" s="51">
        <f>IF(L785=1,0,IF(SUM(K$635:K784)&gt;=Construction_Timeline,0,1))</f>
        <v>0</v>
      </c>
      <c r="L785" s="13">
        <f t="shared" si="121"/>
        <v>0</v>
      </c>
      <c r="M785" s="54">
        <f t="shared" si="122"/>
        <v>50587</v>
      </c>
      <c r="N785" s="7"/>
      <c r="O785" s="12"/>
      <c r="Q785" s="65"/>
      <c r="W785" s="3"/>
      <c r="X785" s="3"/>
    </row>
    <row r="786" spans="1:24" customFormat="1">
      <c r="A786" s="3"/>
      <c r="B786" s="7"/>
      <c r="C786" s="7">
        <v>151</v>
      </c>
      <c r="D786" s="24">
        <f t="shared" si="117"/>
        <v>0</v>
      </c>
      <c r="E786" s="103">
        <f t="shared" si="120"/>
        <v>0</v>
      </c>
      <c r="F786" s="53"/>
      <c r="G786" s="24">
        <f t="shared" si="118"/>
        <v>0</v>
      </c>
      <c r="H786" s="15"/>
      <c r="I786" s="15"/>
      <c r="J786" s="24">
        <f t="shared" si="119"/>
        <v>0</v>
      </c>
      <c r="K786" s="51">
        <f>IF(L786=1,0,IF(SUM(K$635:K785)&gt;=Construction_Timeline,0,1))</f>
        <v>0</v>
      </c>
      <c r="L786" s="13">
        <f t="shared" si="121"/>
        <v>0</v>
      </c>
      <c r="M786" s="54">
        <f t="shared" si="122"/>
        <v>50618</v>
      </c>
      <c r="N786" s="7"/>
      <c r="O786" s="12"/>
      <c r="Q786" s="65"/>
      <c r="W786" s="3"/>
      <c r="X786" s="3"/>
    </row>
    <row r="787" spans="1:24" customFormat="1">
      <c r="A787" s="3"/>
      <c r="B787" s="7"/>
      <c r="C787" s="7">
        <v>152</v>
      </c>
      <c r="D787" s="24">
        <f t="shared" si="117"/>
        <v>0</v>
      </c>
      <c r="E787" s="103">
        <f t="shared" si="120"/>
        <v>0</v>
      </c>
      <c r="F787" s="53"/>
      <c r="G787" s="24">
        <f t="shared" si="118"/>
        <v>0</v>
      </c>
      <c r="H787" s="15"/>
      <c r="I787" s="15"/>
      <c r="J787" s="24">
        <f t="shared" si="119"/>
        <v>0</v>
      </c>
      <c r="K787" s="51">
        <f>IF(L787=1,0,IF(SUM(K$635:K786)&gt;=Construction_Timeline,0,1))</f>
        <v>0</v>
      </c>
      <c r="L787" s="13">
        <f t="shared" si="121"/>
        <v>0</v>
      </c>
      <c r="M787" s="54">
        <f t="shared" si="122"/>
        <v>50649</v>
      </c>
      <c r="N787" s="7"/>
      <c r="O787" s="12"/>
      <c r="Q787" s="65"/>
      <c r="W787" s="3"/>
      <c r="X787" s="3"/>
    </row>
    <row r="788" spans="1:24" customFormat="1">
      <c r="A788" s="3"/>
      <c r="B788" s="7"/>
      <c r="C788" s="7">
        <v>153</v>
      </c>
      <c r="D788" s="24">
        <f t="shared" si="117"/>
        <v>0</v>
      </c>
      <c r="E788" s="103">
        <f t="shared" si="120"/>
        <v>0</v>
      </c>
      <c r="F788" s="53"/>
      <c r="G788" s="24">
        <f t="shared" si="118"/>
        <v>0</v>
      </c>
      <c r="H788" s="15"/>
      <c r="I788" s="15"/>
      <c r="J788" s="24">
        <f t="shared" si="119"/>
        <v>0</v>
      </c>
      <c r="K788" s="51">
        <f>IF(L788=1,0,IF(SUM(K$635:K787)&gt;=Construction_Timeline,0,1))</f>
        <v>0</v>
      </c>
      <c r="L788" s="13">
        <f t="shared" si="121"/>
        <v>0</v>
      </c>
      <c r="M788" s="54">
        <f t="shared" si="122"/>
        <v>50679</v>
      </c>
      <c r="N788" s="7"/>
      <c r="O788" s="12"/>
      <c r="Q788" s="65"/>
      <c r="W788" s="3"/>
      <c r="X788" s="3"/>
    </row>
    <row r="789" spans="1:24" customFormat="1">
      <c r="A789" s="3"/>
      <c r="B789" s="7"/>
      <c r="C789" s="7">
        <v>154</v>
      </c>
      <c r="D789" s="24">
        <f t="shared" si="117"/>
        <v>0</v>
      </c>
      <c r="E789" s="103">
        <f t="shared" si="120"/>
        <v>0</v>
      </c>
      <c r="F789" s="53"/>
      <c r="G789" s="24">
        <f t="shared" si="118"/>
        <v>0</v>
      </c>
      <c r="H789" s="15"/>
      <c r="I789" s="15"/>
      <c r="J789" s="24">
        <f t="shared" si="119"/>
        <v>0</v>
      </c>
      <c r="K789" s="51">
        <f>IF(L789=1,0,IF(SUM(K$635:K788)&gt;=Construction_Timeline,0,1))</f>
        <v>0</v>
      </c>
      <c r="L789" s="13">
        <f t="shared" si="121"/>
        <v>0</v>
      </c>
      <c r="M789" s="54">
        <f t="shared" si="122"/>
        <v>50710</v>
      </c>
      <c r="N789" s="7"/>
      <c r="O789" s="12"/>
      <c r="Q789" s="65"/>
      <c r="W789" s="3"/>
      <c r="X789" s="3"/>
    </row>
    <row r="790" spans="1:24" customFormat="1">
      <c r="A790" s="3"/>
      <c r="B790" s="7"/>
      <c r="C790" s="7">
        <v>155</v>
      </c>
      <c r="D790" s="24">
        <f t="shared" si="117"/>
        <v>0</v>
      </c>
      <c r="E790" s="103">
        <f t="shared" si="120"/>
        <v>0</v>
      </c>
      <c r="F790" s="53"/>
      <c r="G790" s="24">
        <f t="shared" si="118"/>
        <v>0</v>
      </c>
      <c r="H790" s="15"/>
      <c r="I790" s="15"/>
      <c r="J790" s="24">
        <f t="shared" si="119"/>
        <v>0</v>
      </c>
      <c r="K790" s="51">
        <f>IF(L790=1,0,IF(SUM(K$635:K789)&gt;=Construction_Timeline,0,1))</f>
        <v>0</v>
      </c>
      <c r="L790" s="13">
        <f t="shared" si="121"/>
        <v>0</v>
      </c>
      <c r="M790" s="54">
        <f t="shared" si="122"/>
        <v>50740</v>
      </c>
      <c r="N790" s="7"/>
      <c r="O790" s="12"/>
      <c r="Q790" s="65"/>
      <c r="W790" s="3"/>
      <c r="X790" s="3"/>
    </row>
    <row r="791" spans="1:24" customFormat="1">
      <c r="A791" s="3"/>
      <c r="B791" s="7"/>
      <c r="C791" s="7">
        <v>156</v>
      </c>
      <c r="D791" s="24">
        <f t="shared" si="117"/>
        <v>0</v>
      </c>
      <c r="E791" s="103">
        <f t="shared" si="120"/>
        <v>0</v>
      </c>
      <c r="F791" s="53"/>
      <c r="G791" s="24">
        <f t="shared" si="118"/>
        <v>0</v>
      </c>
      <c r="H791" s="15"/>
      <c r="I791" s="15"/>
      <c r="J791" s="24">
        <f t="shared" si="119"/>
        <v>0</v>
      </c>
      <c r="K791" s="51">
        <f>IF(L791=1,0,IF(SUM(K$635:K790)&gt;=Construction_Timeline,0,1))</f>
        <v>0</v>
      </c>
      <c r="L791" s="13">
        <f t="shared" si="121"/>
        <v>0</v>
      </c>
      <c r="M791" s="54">
        <f t="shared" si="122"/>
        <v>50771</v>
      </c>
      <c r="N791" s="7"/>
      <c r="O791" s="12"/>
      <c r="Q791" s="65"/>
      <c r="W791" s="3"/>
      <c r="X791" s="3"/>
    </row>
    <row r="792" spans="1:24" customFormat="1">
      <c r="A792" s="3"/>
      <c r="B792" s="7"/>
      <c r="C792" s="7">
        <v>157</v>
      </c>
      <c r="D792" s="24">
        <f t="shared" si="117"/>
        <v>0</v>
      </c>
      <c r="E792" s="103">
        <f t="shared" si="120"/>
        <v>0</v>
      </c>
      <c r="F792" s="53"/>
      <c r="G792" s="24">
        <f t="shared" si="118"/>
        <v>0</v>
      </c>
      <c r="H792" s="15"/>
      <c r="I792" s="15"/>
      <c r="J792" s="24">
        <f t="shared" si="119"/>
        <v>0</v>
      </c>
      <c r="K792" s="51">
        <f>IF(L792=1,0,IF(SUM(K$635:K791)&gt;=Construction_Timeline,0,1))</f>
        <v>0</v>
      </c>
      <c r="L792" s="13">
        <f t="shared" si="121"/>
        <v>0</v>
      </c>
      <c r="M792" s="54">
        <f t="shared" si="122"/>
        <v>50802</v>
      </c>
      <c r="N792" s="7"/>
      <c r="O792" s="12"/>
      <c r="Q792" s="65"/>
      <c r="W792" s="3"/>
      <c r="X792" s="3"/>
    </row>
    <row r="793" spans="1:24" customFormat="1">
      <c r="A793" s="3"/>
      <c r="B793" s="7"/>
      <c r="C793" s="7">
        <v>158</v>
      </c>
      <c r="D793" s="24">
        <f t="shared" si="117"/>
        <v>0</v>
      </c>
      <c r="E793" s="103">
        <f t="shared" si="120"/>
        <v>0</v>
      </c>
      <c r="F793" s="53"/>
      <c r="G793" s="24">
        <f t="shared" si="118"/>
        <v>0</v>
      </c>
      <c r="H793" s="15"/>
      <c r="I793" s="15"/>
      <c r="J793" s="24">
        <f t="shared" si="119"/>
        <v>0</v>
      </c>
      <c r="K793" s="51">
        <f>IF(L793=1,0,IF(SUM(K$635:K792)&gt;=Construction_Timeline,0,1))</f>
        <v>0</v>
      </c>
      <c r="L793" s="13">
        <f t="shared" si="121"/>
        <v>0</v>
      </c>
      <c r="M793" s="54">
        <f t="shared" si="122"/>
        <v>50830</v>
      </c>
      <c r="N793" s="7"/>
      <c r="O793" s="12"/>
      <c r="Q793" s="65"/>
      <c r="W793" s="3"/>
      <c r="X793" s="3"/>
    </row>
    <row r="794" spans="1:24" customFormat="1">
      <c r="A794" s="3"/>
      <c r="B794" s="7"/>
      <c r="C794" s="7">
        <v>159</v>
      </c>
      <c r="D794" s="24">
        <f t="shared" si="117"/>
        <v>0</v>
      </c>
      <c r="E794" s="103">
        <f t="shared" si="120"/>
        <v>0</v>
      </c>
      <c r="F794" s="53"/>
      <c r="G794" s="24">
        <f t="shared" si="118"/>
        <v>0</v>
      </c>
      <c r="H794" s="15"/>
      <c r="I794" s="15"/>
      <c r="J794" s="24">
        <f t="shared" si="119"/>
        <v>0</v>
      </c>
      <c r="K794" s="51">
        <f>IF(L794=1,0,IF(SUM(K$635:K793)&gt;=Construction_Timeline,0,1))</f>
        <v>0</v>
      </c>
      <c r="L794" s="13">
        <f t="shared" si="121"/>
        <v>0</v>
      </c>
      <c r="M794" s="54">
        <f t="shared" si="122"/>
        <v>50861</v>
      </c>
      <c r="N794" s="7"/>
      <c r="O794" s="12"/>
      <c r="Q794" s="65"/>
      <c r="W794" s="3"/>
      <c r="X794" s="3"/>
    </row>
    <row r="795" spans="1:24" customFormat="1">
      <c r="A795" s="3"/>
      <c r="B795" s="7"/>
      <c r="C795" s="7">
        <v>160</v>
      </c>
      <c r="D795" s="24">
        <f t="shared" si="117"/>
        <v>0</v>
      </c>
      <c r="E795" s="103">
        <f t="shared" si="120"/>
        <v>0</v>
      </c>
      <c r="F795" s="53"/>
      <c r="G795" s="24">
        <f t="shared" ref="G795:G815" si="123">IF(C795=SUM(Month_of_Sale,PreDev_Timeline,Construction_Timeline),Incentive_Sales_Price*(1-D$64),0)</f>
        <v>0</v>
      </c>
      <c r="H795" s="15"/>
      <c r="I795" s="15"/>
      <c r="J795" s="24">
        <f t="shared" ref="J795:J814" si="124">SUM(D795:G795)</f>
        <v>0</v>
      </c>
      <c r="K795" s="51">
        <f>IF(L795=1,0,IF(SUM(K$635:K794)&gt;=Construction_Timeline,0,1))</f>
        <v>0</v>
      </c>
      <c r="L795" s="13">
        <f t="shared" si="121"/>
        <v>0</v>
      </c>
      <c r="M795" s="54">
        <f t="shared" si="122"/>
        <v>50891</v>
      </c>
      <c r="N795" s="7"/>
      <c r="O795" s="12"/>
      <c r="Q795" s="65"/>
      <c r="W795" s="3"/>
      <c r="X795" s="3"/>
    </row>
    <row r="796" spans="1:24" customFormat="1">
      <c r="A796" s="3"/>
      <c r="B796" s="7"/>
      <c r="C796" s="7">
        <v>161</v>
      </c>
      <c r="D796" s="24">
        <f t="shared" si="117"/>
        <v>0</v>
      </c>
      <c r="E796" s="103">
        <f t="shared" ref="E796:E815" si="125">-Incentive_Pre_Development_Costs/PreDev_Timeline*L796</f>
        <v>0</v>
      </c>
      <c r="F796" s="53"/>
      <c r="G796" s="24">
        <f t="shared" si="123"/>
        <v>0</v>
      </c>
      <c r="H796" s="15"/>
      <c r="I796" s="15"/>
      <c r="J796" s="24">
        <f t="shared" si="124"/>
        <v>0</v>
      </c>
      <c r="K796" s="51">
        <f>IF(L796=1,0,IF(SUM(K$635:K795)&gt;=Construction_Timeline,0,1))</f>
        <v>0</v>
      </c>
      <c r="L796" s="13">
        <f t="shared" ref="L796:L815" si="126">IF(C796&lt;=PreDev_Timeline,1,0)</f>
        <v>0</v>
      </c>
      <c r="M796" s="54">
        <f t="shared" si="122"/>
        <v>50922</v>
      </c>
      <c r="N796" s="7"/>
      <c r="O796" s="12"/>
      <c r="Q796" s="65"/>
      <c r="W796" s="3"/>
      <c r="X796" s="3"/>
    </row>
    <row r="797" spans="1:24" customFormat="1">
      <c r="A797" s="3"/>
      <c r="B797" s="7"/>
      <c r="C797" s="7">
        <v>162</v>
      </c>
      <c r="D797" s="24">
        <f t="shared" si="117"/>
        <v>0</v>
      </c>
      <c r="E797" s="103">
        <f t="shared" si="125"/>
        <v>0</v>
      </c>
      <c r="F797" s="53"/>
      <c r="G797" s="24">
        <f t="shared" si="123"/>
        <v>0</v>
      </c>
      <c r="H797" s="15"/>
      <c r="I797" s="15"/>
      <c r="J797" s="24">
        <f t="shared" si="124"/>
        <v>0</v>
      </c>
      <c r="K797" s="51">
        <f>IF(L797=1,0,IF(SUM(K$635:K796)&gt;=Construction_Timeline,0,1))</f>
        <v>0</v>
      </c>
      <c r="L797" s="13">
        <f t="shared" si="126"/>
        <v>0</v>
      </c>
      <c r="M797" s="54">
        <f t="shared" si="122"/>
        <v>50952</v>
      </c>
      <c r="N797" s="7"/>
      <c r="O797" s="12"/>
      <c r="Q797" s="65"/>
      <c r="W797" s="3"/>
      <c r="X797" s="3"/>
    </row>
    <row r="798" spans="1:24" customFormat="1">
      <c r="A798" s="3"/>
      <c r="B798" s="7"/>
      <c r="C798" s="7">
        <v>163</v>
      </c>
      <c r="D798" s="24">
        <f t="shared" si="117"/>
        <v>0</v>
      </c>
      <c r="E798" s="103">
        <f t="shared" si="125"/>
        <v>0</v>
      </c>
      <c r="F798" s="53"/>
      <c r="G798" s="24">
        <f t="shared" si="123"/>
        <v>0</v>
      </c>
      <c r="H798" s="15"/>
      <c r="I798" s="15"/>
      <c r="J798" s="24">
        <f t="shared" si="124"/>
        <v>0</v>
      </c>
      <c r="K798" s="51">
        <f>IF(L798=1,0,IF(SUM(K$635:K797)&gt;=Construction_Timeline,0,1))</f>
        <v>0</v>
      </c>
      <c r="L798" s="13">
        <f t="shared" si="126"/>
        <v>0</v>
      </c>
      <c r="M798" s="54">
        <f t="shared" si="122"/>
        <v>50983</v>
      </c>
      <c r="N798" s="7"/>
      <c r="O798" s="12"/>
      <c r="Q798" s="65"/>
      <c r="W798" s="3"/>
      <c r="X798" s="3"/>
    </row>
    <row r="799" spans="1:24" customFormat="1">
      <c r="A799" s="3"/>
      <c r="B799" s="7"/>
      <c r="C799" s="7">
        <v>164</v>
      </c>
      <c r="D799" s="24">
        <f t="shared" si="117"/>
        <v>0</v>
      </c>
      <c r="E799" s="103">
        <f t="shared" si="125"/>
        <v>0</v>
      </c>
      <c r="F799" s="53"/>
      <c r="G799" s="24">
        <f t="shared" si="123"/>
        <v>0</v>
      </c>
      <c r="H799" s="15"/>
      <c r="I799" s="15"/>
      <c r="J799" s="24">
        <f t="shared" si="124"/>
        <v>0</v>
      </c>
      <c r="K799" s="51">
        <f>IF(L799=1,0,IF(SUM(K$635:K798)&gt;=Construction_Timeline,0,1))</f>
        <v>0</v>
      </c>
      <c r="L799" s="13">
        <f t="shared" si="126"/>
        <v>0</v>
      </c>
      <c r="M799" s="54">
        <f t="shared" si="122"/>
        <v>51014</v>
      </c>
      <c r="N799" s="7"/>
      <c r="O799" s="12"/>
      <c r="Q799" s="65"/>
      <c r="W799" s="3"/>
      <c r="X799" s="3"/>
    </row>
    <row r="800" spans="1:24" customFormat="1">
      <c r="A800" s="3"/>
      <c r="B800" s="7"/>
      <c r="C800" s="7">
        <v>165</v>
      </c>
      <c r="D800" s="24">
        <f t="shared" si="117"/>
        <v>0</v>
      </c>
      <c r="E800" s="103">
        <f t="shared" si="125"/>
        <v>0</v>
      </c>
      <c r="F800" s="53"/>
      <c r="G800" s="24">
        <f t="shared" si="123"/>
        <v>0</v>
      </c>
      <c r="H800" s="15"/>
      <c r="I800" s="15"/>
      <c r="J800" s="24">
        <f t="shared" si="124"/>
        <v>0</v>
      </c>
      <c r="K800" s="51">
        <f>IF(L800=1,0,IF(SUM(K$635:K799)&gt;=Construction_Timeline,0,1))</f>
        <v>0</v>
      </c>
      <c r="L800" s="13">
        <f t="shared" si="126"/>
        <v>0</v>
      </c>
      <c r="M800" s="54">
        <f t="shared" si="122"/>
        <v>51044</v>
      </c>
      <c r="N800" s="7"/>
      <c r="O800" s="12"/>
      <c r="Q800" s="65"/>
      <c r="W800" s="3"/>
      <c r="X800" s="3"/>
    </row>
    <row r="801" spans="1:24" customFormat="1">
      <c r="A801" s="3"/>
      <c r="B801" s="7"/>
      <c r="C801" s="7">
        <v>166</v>
      </c>
      <c r="D801" s="24">
        <f t="shared" si="117"/>
        <v>0</v>
      </c>
      <c r="E801" s="103">
        <f t="shared" si="125"/>
        <v>0</v>
      </c>
      <c r="F801" s="53"/>
      <c r="G801" s="24">
        <f t="shared" si="123"/>
        <v>0</v>
      </c>
      <c r="H801" s="15"/>
      <c r="I801" s="15"/>
      <c r="J801" s="24">
        <f t="shared" si="124"/>
        <v>0</v>
      </c>
      <c r="K801" s="51">
        <f>IF(L801=1,0,IF(SUM(K$635:K800)&gt;=Construction_Timeline,0,1))</f>
        <v>0</v>
      </c>
      <c r="L801" s="13">
        <f t="shared" si="126"/>
        <v>0</v>
      </c>
      <c r="M801" s="54">
        <f t="shared" si="122"/>
        <v>51075</v>
      </c>
      <c r="N801" s="7"/>
      <c r="O801" s="12"/>
      <c r="Q801" s="65"/>
      <c r="W801" s="3"/>
      <c r="X801" s="3"/>
    </row>
    <row r="802" spans="1:24" customFormat="1">
      <c r="A802" s="3"/>
      <c r="B802" s="7"/>
      <c r="C802" s="7">
        <v>167</v>
      </c>
      <c r="D802" s="24">
        <f t="shared" si="117"/>
        <v>0</v>
      </c>
      <c r="E802" s="103">
        <f t="shared" si="125"/>
        <v>0</v>
      </c>
      <c r="F802" s="53"/>
      <c r="G802" s="24">
        <f t="shared" si="123"/>
        <v>0</v>
      </c>
      <c r="H802" s="15"/>
      <c r="I802" s="15"/>
      <c r="J802" s="24">
        <f t="shared" si="124"/>
        <v>0</v>
      </c>
      <c r="K802" s="51">
        <f>IF(L802=1,0,IF(SUM(K$635:K801)&gt;=Construction_Timeline,0,1))</f>
        <v>0</v>
      </c>
      <c r="L802" s="13">
        <f t="shared" si="126"/>
        <v>0</v>
      </c>
      <c r="M802" s="54">
        <f t="shared" si="122"/>
        <v>51105</v>
      </c>
      <c r="N802" s="7"/>
      <c r="O802" s="12"/>
      <c r="Q802" s="65"/>
      <c r="W802" s="3"/>
      <c r="X802" s="3"/>
    </row>
    <row r="803" spans="1:24" customFormat="1">
      <c r="A803" s="3"/>
      <c r="B803" s="7"/>
      <c r="C803" s="7">
        <v>168</v>
      </c>
      <c r="D803" s="24">
        <f t="shared" si="117"/>
        <v>0</v>
      </c>
      <c r="E803" s="103">
        <f t="shared" si="125"/>
        <v>0</v>
      </c>
      <c r="F803" s="53"/>
      <c r="G803" s="24">
        <f t="shared" si="123"/>
        <v>0</v>
      </c>
      <c r="H803" s="15"/>
      <c r="I803" s="15"/>
      <c r="J803" s="24">
        <f t="shared" si="124"/>
        <v>0</v>
      </c>
      <c r="K803" s="51">
        <f>IF(L803=1,0,IF(SUM(K$635:K802)&gt;=Construction_Timeline,0,1))</f>
        <v>0</v>
      </c>
      <c r="L803" s="13">
        <f t="shared" si="126"/>
        <v>0</v>
      </c>
      <c r="M803" s="54">
        <f t="shared" si="122"/>
        <v>51136</v>
      </c>
      <c r="N803" s="7"/>
      <c r="O803" s="12"/>
      <c r="Q803" s="65"/>
      <c r="W803" s="3"/>
      <c r="X803" s="3"/>
    </row>
    <row r="804" spans="1:24" customFormat="1">
      <c r="A804" s="3"/>
      <c r="B804" s="7"/>
      <c r="C804" s="7">
        <v>169</v>
      </c>
      <c r="D804" s="24">
        <f t="shared" si="117"/>
        <v>0</v>
      </c>
      <c r="E804" s="103">
        <f t="shared" si="125"/>
        <v>0</v>
      </c>
      <c r="F804" s="53"/>
      <c r="G804" s="24">
        <f t="shared" si="123"/>
        <v>0</v>
      </c>
      <c r="H804" s="15"/>
      <c r="I804" s="15"/>
      <c r="J804" s="24">
        <f t="shared" si="124"/>
        <v>0</v>
      </c>
      <c r="K804" s="51">
        <f>IF(L804=1,0,IF(SUM(K$635:K803)&gt;=Construction_Timeline,0,1))</f>
        <v>0</v>
      </c>
      <c r="L804" s="13">
        <f t="shared" si="126"/>
        <v>0</v>
      </c>
      <c r="M804" s="54">
        <f t="shared" si="122"/>
        <v>51167</v>
      </c>
      <c r="N804" s="7"/>
      <c r="O804" s="12"/>
      <c r="Q804" s="65"/>
      <c r="W804" s="3"/>
      <c r="X804" s="3"/>
    </row>
    <row r="805" spans="1:24" customFormat="1">
      <c r="A805" s="3"/>
      <c r="B805" s="7"/>
      <c r="C805" s="7">
        <v>170</v>
      </c>
      <c r="D805" s="24">
        <f t="shared" si="117"/>
        <v>0</v>
      </c>
      <c r="E805" s="103">
        <f t="shared" si="125"/>
        <v>0</v>
      </c>
      <c r="F805" s="53"/>
      <c r="G805" s="24">
        <f t="shared" si="123"/>
        <v>0</v>
      </c>
      <c r="H805" s="15"/>
      <c r="I805" s="15"/>
      <c r="J805" s="24">
        <f t="shared" si="124"/>
        <v>0</v>
      </c>
      <c r="K805" s="51">
        <f>IF(L805=1,0,IF(SUM(K$635:K804)&gt;=Construction_Timeline,0,1))</f>
        <v>0</v>
      </c>
      <c r="L805" s="13">
        <f t="shared" si="126"/>
        <v>0</v>
      </c>
      <c r="M805" s="54">
        <f t="shared" si="122"/>
        <v>51196</v>
      </c>
      <c r="N805" s="7"/>
      <c r="O805" s="12"/>
      <c r="Q805" s="65"/>
      <c r="W805" s="3"/>
      <c r="X805" s="3"/>
    </row>
    <row r="806" spans="1:24" customFormat="1">
      <c r="A806" s="3"/>
      <c r="B806" s="7"/>
      <c r="C806" s="7">
        <v>171</v>
      </c>
      <c r="D806" s="24">
        <f t="shared" si="117"/>
        <v>0</v>
      </c>
      <c r="E806" s="103">
        <f t="shared" si="125"/>
        <v>0</v>
      </c>
      <c r="F806" s="53"/>
      <c r="G806" s="24">
        <f t="shared" si="123"/>
        <v>0</v>
      </c>
      <c r="H806" s="15"/>
      <c r="I806" s="15"/>
      <c r="J806" s="24">
        <f t="shared" si="124"/>
        <v>0</v>
      </c>
      <c r="K806" s="51">
        <f>IF(L806=1,0,IF(SUM(K$635:K805)&gt;=Construction_Timeline,0,1))</f>
        <v>0</v>
      </c>
      <c r="L806" s="13">
        <f t="shared" si="126"/>
        <v>0</v>
      </c>
      <c r="M806" s="54">
        <f t="shared" si="122"/>
        <v>51227</v>
      </c>
      <c r="N806" s="7"/>
      <c r="O806" s="12"/>
      <c r="Q806" s="65"/>
      <c r="W806" s="3"/>
      <c r="X806" s="3"/>
    </row>
    <row r="807" spans="1:24" customFormat="1">
      <c r="A807" s="3"/>
      <c r="B807" s="7"/>
      <c r="C807" s="7">
        <v>172</v>
      </c>
      <c r="D807" s="24">
        <f t="shared" si="117"/>
        <v>0</v>
      </c>
      <c r="E807" s="103">
        <f t="shared" si="125"/>
        <v>0</v>
      </c>
      <c r="F807" s="53"/>
      <c r="G807" s="24">
        <f t="shared" si="123"/>
        <v>0</v>
      </c>
      <c r="H807" s="15"/>
      <c r="I807" s="15"/>
      <c r="J807" s="24">
        <f t="shared" si="124"/>
        <v>0</v>
      </c>
      <c r="K807" s="51">
        <f>IF(L807=1,0,IF(SUM(K$635:K806)&gt;=Construction_Timeline,0,1))</f>
        <v>0</v>
      </c>
      <c r="L807" s="13">
        <f t="shared" si="126"/>
        <v>0</v>
      </c>
      <c r="M807" s="54">
        <f t="shared" si="122"/>
        <v>51257</v>
      </c>
      <c r="N807" s="7"/>
      <c r="O807" s="12"/>
      <c r="Q807" s="65"/>
      <c r="W807" s="3"/>
      <c r="X807" s="3"/>
    </row>
    <row r="808" spans="1:24" customFormat="1">
      <c r="A808" s="3"/>
      <c r="B808" s="7"/>
      <c r="C808" s="7">
        <v>173</v>
      </c>
      <c r="D808" s="24">
        <f t="shared" si="117"/>
        <v>0</v>
      </c>
      <c r="E808" s="103">
        <f t="shared" si="125"/>
        <v>0</v>
      </c>
      <c r="F808" s="53"/>
      <c r="G808" s="24">
        <f t="shared" si="123"/>
        <v>0</v>
      </c>
      <c r="H808" s="15"/>
      <c r="I808" s="15"/>
      <c r="J808" s="24">
        <f t="shared" si="124"/>
        <v>0</v>
      </c>
      <c r="K808" s="51">
        <f>IF(L808=1,0,IF(SUM(K$635:K807)&gt;=Construction_Timeline,0,1))</f>
        <v>0</v>
      </c>
      <c r="L808" s="13">
        <f t="shared" si="126"/>
        <v>0</v>
      </c>
      <c r="M808" s="54">
        <f t="shared" si="122"/>
        <v>51288</v>
      </c>
      <c r="N808" s="7"/>
      <c r="O808" s="12"/>
      <c r="Q808" s="65"/>
      <c r="W808" s="3"/>
      <c r="X808" s="3"/>
    </row>
    <row r="809" spans="1:24" customFormat="1">
      <c r="A809" s="3"/>
      <c r="B809" s="7"/>
      <c r="C809" s="7">
        <v>174</v>
      </c>
      <c r="D809" s="24">
        <f t="shared" si="117"/>
        <v>0</v>
      </c>
      <c r="E809" s="103">
        <f t="shared" si="125"/>
        <v>0</v>
      </c>
      <c r="F809" s="53"/>
      <c r="G809" s="24">
        <f t="shared" si="123"/>
        <v>0</v>
      </c>
      <c r="H809" s="15"/>
      <c r="I809" s="15"/>
      <c r="J809" s="24">
        <f t="shared" si="124"/>
        <v>0</v>
      </c>
      <c r="K809" s="51">
        <f>IF(L809=1,0,IF(SUM(K$635:K808)&gt;=Construction_Timeline,0,1))</f>
        <v>0</v>
      </c>
      <c r="L809" s="13">
        <f t="shared" si="126"/>
        <v>0</v>
      </c>
      <c r="M809" s="54">
        <f t="shared" si="122"/>
        <v>51318</v>
      </c>
      <c r="N809" s="7"/>
      <c r="O809" s="12"/>
      <c r="Q809" s="65"/>
      <c r="W809" s="3"/>
      <c r="X809" s="3"/>
    </row>
    <row r="810" spans="1:24" customFormat="1">
      <c r="A810" s="3"/>
      <c r="B810" s="7"/>
      <c r="C810" s="7">
        <v>175</v>
      </c>
      <c r="D810" s="24">
        <f t="shared" si="117"/>
        <v>0</v>
      </c>
      <c r="E810" s="103">
        <f t="shared" si="125"/>
        <v>0</v>
      </c>
      <c r="F810" s="53"/>
      <c r="G810" s="24">
        <f t="shared" si="123"/>
        <v>0</v>
      </c>
      <c r="H810" s="15"/>
      <c r="I810" s="15"/>
      <c r="J810" s="24">
        <f t="shared" si="124"/>
        <v>0</v>
      </c>
      <c r="K810" s="51">
        <f>IF(L810=1,0,IF(SUM(K$635:K809)&gt;=Construction_Timeline,0,1))</f>
        <v>0</v>
      </c>
      <c r="L810" s="13">
        <f t="shared" si="126"/>
        <v>0</v>
      </c>
      <c r="M810" s="54">
        <f t="shared" si="122"/>
        <v>51349</v>
      </c>
      <c r="N810" s="7"/>
      <c r="O810" s="12"/>
      <c r="Q810" s="65"/>
      <c r="W810" s="3"/>
      <c r="X810" s="3"/>
    </row>
    <row r="811" spans="1:24" customFormat="1">
      <c r="A811" s="3"/>
      <c r="B811" s="7"/>
      <c r="C811" s="7">
        <v>176</v>
      </c>
      <c r="D811" s="24">
        <f t="shared" si="117"/>
        <v>0</v>
      </c>
      <c r="E811" s="103">
        <f t="shared" si="125"/>
        <v>0</v>
      </c>
      <c r="F811" s="53"/>
      <c r="G811" s="24">
        <f t="shared" si="123"/>
        <v>0</v>
      </c>
      <c r="H811" s="15"/>
      <c r="I811" s="15"/>
      <c r="J811" s="24">
        <f t="shared" si="124"/>
        <v>0</v>
      </c>
      <c r="K811" s="51">
        <f>IF(L811=1,0,IF(SUM(K$635:K810)&gt;=Construction_Timeline,0,1))</f>
        <v>0</v>
      </c>
      <c r="L811" s="13">
        <f t="shared" si="126"/>
        <v>0</v>
      </c>
      <c r="M811" s="54">
        <f t="shared" si="122"/>
        <v>51380</v>
      </c>
      <c r="N811" s="7"/>
      <c r="O811" s="12"/>
      <c r="Q811" s="65"/>
      <c r="W811" s="3"/>
      <c r="X811" s="3"/>
    </row>
    <row r="812" spans="1:24" customFormat="1">
      <c r="A812" s="3"/>
      <c r="B812" s="7"/>
      <c r="C812" s="7">
        <v>177</v>
      </c>
      <c r="D812" s="24">
        <f t="shared" si="117"/>
        <v>0</v>
      </c>
      <c r="E812" s="103">
        <f t="shared" si="125"/>
        <v>0</v>
      </c>
      <c r="F812" s="53"/>
      <c r="G812" s="24">
        <f t="shared" si="123"/>
        <v>0</v>
      </c>
      <c r="H812" s="15"/>
      <c r="I812" s="15"/>
      <c r="J812" s="24">
        <f t="shared" si="124"/>
        <v>0</v>
      </c>
      <c r="K812" s="51">
        <f>IF(L812=1,0,IF(SUM(K$635:K811)&gt;=Construction_Timeline,0,1))</f>
        <v>0</v>
      </c>
      <c r="L812" s="13">
        <f t="shared" si="126"/>
        <v>0</v>
      </c>
      <c r="M812" s="54">
        <f t="shared" si="122"/>
        <v>51410</v>
      </c>
      <c r="N812" s="7"/>
      <c r="O812" s="12"/>
      <c r="Q812" s="65"/>
      <c r="W812" s="3"/>
      <c r="X812" s="3"/>
    </row>
    <row r="813" spans="1:24" customFormat="1">
      <c r="A813" s="3"/>
      <c r="B813" s="7"/>
      <c r="C813" s="7">
        <v>178</v>
      </c>
      <c r="D813" s="24">
        <f t="shared" si="117"/>
        <v>0</v>
      </c>
      <c r="E813" s="103">
        <f t="shared" si="125"/>
        <v>0</v>
      </c>
      <c r="F813" s="53"/>
      <c r="G813" s="24">
        <f t="shared" si="123"/>
        <v>0</v>
      </c>
      <c r="H813" s="15"/>
      <c r="I813" s="15"/>
      <c r="J813" s="24">
        <f t="shared" si="124"/>
        <v>0</v>
      </c>
      <c r="K813" s="51">
        <f>IF(L813=1,0,IF(SUM(K$635:K812)&gt;=Construction_Timeline,0,1))</f>
        <v>0</v>
      </c>
      <c r="L813" s="13">
        <f t="shared" si="126"/>
        <v>0</v>
      </c>
      <c r="M813" s="54">
        <f t="shared" si="122"/>
        <v>51441</v>
      </c>
      <c r="N813" s="7"/>
      <c r="O813" s="12"/>
      <c r="Q813" s="65"/>
      <c r="W813" s="3"/>
      <c r="X813" s="3"/>
    </row>
    <row r="814" spans="1:24" customFormat="1">
      <c r="A814" s="3"/>
      <c r="B814" s="7"/>
      <c r="C814" s="7">
        <v>179</v>
      </c>
      <c r="D814" s="24">
        <f t="shared" si="117"/>
        <v>0</v>
      </c>
      <c r="E814" s="103">
        <f t="shared" si="125"/>
        <v>0</v>
      </c>
      <c r="F814" s="53"/>
      <c r="G814" s="24">
        <f t="shared" si="123"/>
        <v>0</v>
      </c>
      <c r="H814" s="15"/>
      <c r="I814" s="15"/>
      <c r="J814" s="24">
        <f t="shared" si="124"/>
        <v>0</v>
      </c>
      <c r="K814" s="51">
        <f>IF(L814=1,0,IF(SUM(K$635:K813)&gt;=Construction_Timeline,0,1))</f>
        <v>0</v>
      </c>
      <c r="L814" s="13">
        <f t="shared" si="126"/>
        <v>0</v>
      </c>
      <c r="M814" s="54">
        <f t="shared" si="122"/>
        <v>51471</v>
      </c>
      <c r="N814" s="7"/>
      <c r="O814" s="12"/>
      <c r="Q814" s="65"/>
      <c r="W814" s="3"/>
      <c r="X814" s="3"/>
    </row>
    <row r="815" spans="1:24" customFormat="1">
      <c r="A815" s="3"/>
      <c r="B815" s="7"/>
      <c r="C815" s="7">
        <v>180</v>
      </c>
      <c r="D815" s="24">
        <f t="shared" si="117"/>
        <v>0</v>
      </c>
      <c r="E815" s="103">
        <f t="shared" si="125"/>
        <v>0</v>
      </c>
      <c r="F815" s="53"/>
      <c r="G815" s="24">
        <f t="shared" si="123"/>
        <v>0</v>
      </c>
      <c r="H815" s="15"/>
      <c r="I815" s="15"/>
      <c r="J815" s="24">
        <f>SUM(D815,F815,G815)+IF(G815&gt;0,I815)</f>
        <v>0</v>
      </c>
      <c r="K815" s="51">
        <f>IF(L815=1,0,IF(SUM(K$266:K814)&gt;=Construction_Timeline,0,1))</f>
        <v>0</v>
      </c>
      <c r="L815" s="13">
        <f t="shared" si="126"/>
        <v>0</v>
      </c>
      <c r="M815" s="54">
        <f t="shared" si="122"/>
        <v>51502</v>
      </c>
      <c r="N815" s="7"/>
      <c r="O815" s="12"/>
      <c r="Q815" s="65"/>
      <c r="W815" s="3"/>
      <c r="X815" s="3"/>
    </row>
    <row r="816" spans="1:24">
      <c r="B816" s="7"/>
      <c r="C816" s="7"/>
      <c r="D816" s="24"/>
      <c r="E816" s="103"/>
      <c r="F816" s="53"/>
      <c r="G816" s="24"/>
      <c r="H816" s="15"/>
      <c r="I816" s="15"/>
      <c r="J816" s="24"/>
      <c r="K816" s="51"/>
      <c r="L816" s="13"/>
      <c r="M816" s="54"/>
      <c r="N816" s="7"/>
      <c r="O816" s="12"/>
    </row>
    <row r="817" spans="2:15">
      <c r="B817" s="7"/>
      <c r="C817" s="7"/>
      <c r="D817" s="24"/>
      <c r="E817" s="103"/>
      <c r="F817" s="53"/>
      <c r="G817" s="24"/>
      <c r="H817" s="15"/>
      <c r="I817" s="15"/>
      <c r="J817" s="24"/>
      <c r="K817" s="51"/>
      <c r="L817" s="13"/>
      <c r="M817" s="54"/>
      <c r="N817" s="7"/>
      <c r="O817" s="12"/>
    </row>
    <row r="818" spans="2:15" ht="15.6">
      <c r="B818" s="7"/>
      <c r="C818" s="41" t="s">
        <v>181</v>
      </c>
      <c r="D818" s="39"/>
      <c r="E818" s="39"/>
      <c r="F818" s="39"/>
      <c r="G818" s="39"/>
      <c r="H818" s="39"/>
      <c r="I818" s="39"/>
      <c r="J818" s="39"/>
      <c r="K818" s="97" t="s">
        <v>87</v>
      </c>
      <c r="L818" s="13"/>
      <c r="M818" s="54"/>
      <c r="N818" s="7"/>
      <c r="O818" s="12"/>
    </row>
    <row r="819" spans="2:15">
      <c r="B819" s="7"/>
      <c r="C819" s="7"/>
      <c r="D819" s="24"/>
      <c r="E819" s="103"/>
      <c r="F819" s="53"/>
      <c r="G819" s="24"/>
      <c r="H819" s="15"/>
      <c r="I819" s="15"/>
      <c r="J819" s="24"/>
      <c r="K819" s="51"/>
      <c r="L819" s="13"/>
      <c r="M819" s="54"/>
      <c r="N819" s="7"/>
      <c r="O819" s="12"/>
    </row>
    <row r="820" spans="2:15">
      <c r="B820" s="7"/>
      <c r="C820" s="24" t="s">
        <v>182</v>
      </c>
      <c r="D820" s="24">
        <f>(G10*Per_Unit_Market_Price+G12*Per_Unit_Affordable_Price)/Total_Units</f>
        <v>450000</v>
      </c>
      <c r="E820" s="103"/>
      <c r="F820" s="53"/>
      <c r="G820" s="24"/>
      <c r="H820" s="15"/>
      <c r="I820" s="15"/>
      <c r="J820" s="24"/>
      <c r="K820" s="51"/>
      <c r="L820" s="13"/>
      <c r="M820" s="54"/>
      <c r="N820" s="7"/>
      <c r="O820" s="12"/>
    </row>
    <row r="821" spans="2:15">
      <c r="B821" s="7"/>
      <c r="C821" s="24"/>
      <c r="D821" s="24"/>
      <c r="E821" s="103"/>
      <c r="F821" s="53"/>
      <c r="G821" s="24"/>
      <c r="H821" s="15"/>
      <c r="I821" s="15"/>
      <c r="J821" s="24"/>
      <c r="K821" s="51"/>
      <c r="L821" s="13"/>
      <c r="M821" s="54"/>
      <c r="N821" s="7"/>
      <c r="O821" s="12"/>
    </row>
    <row r="822" spans="2:15">
      <c r="B822" s="7"/>
      <c r="C822" s="7" t="s">
        <v>89</v>
      </c>
      <c r="D822" s="103" t="s">
        <v>188</v>
      </c>
      <c r="E822" s="53"/>
      <c r="F822" s="53"/>
      <c r="G822" s="24"/>
      <c r="H822" s="15"/>
      <c r="I822" s="15"/>
      <c r="J822" s="24"/>
      <c r="K822" s="51"/>
      <c r="L822" s="13"/>
      <c r="M822" s="54"/>
      <c r="N822" s="7"/>
      <c r="O822" s="12"/>
    </row>
    <row r="823" spans="2:15">
      <c r="B823" s="7"/>
      <c r="C823" s="175" t="s">
        <v>90</v>
      </c>
      <c r="D823" s="174">
        <f>NPV(0.05,D$820*ModelInputs!C154*Abate_Pct_RentGap,D$820*ModelInputs!C154*Abate_Pct_RentGap,D$820*ModelInputs!C154*Abate_Pct_RentGap,D$820*ModelInputs!C154*Abate_Pct_RentGap,D$820*ModelInputs!C154*Abate_Pct_RentGap,D$820*ModelInputs!C154*Abate_Pct_RentGap,D$820*ModelInputs!C154*Abate_Pct_RentGap,D$820*ModelInputs!C154*Abate_Pct_RentGap,D$820*ModelInputs!C154*Abate_Pct_RentGap,D$820*ModelInputs!C154*Abate_Pct_RentGap)/2</f>
        <v>1737.3903590665823</v>
      </c>
      <c r="E823" s="53"/>
      <c r="F823" s="53"/>
      <c r="G823" s="24"/>
      <c r="H823" s="15"/>
      <c r="I823" s="15"/>
      <c r="J823" s="24"/>
      <c r="K823" s="51"/>
      <c r="L823" s="13"/>
      <c r="M823" s="54"/>
      <c r="N823" s="7"/>
      <c r="O823" s="12"/>
    </row>
    <row r="824" spans="2:15">
      <c r="B824" s="7"/>
      <c r="C824" s="175" t="s">
        <v>102</v>
      </c>
      <c r="D824" s="174">
        <f>NPV(0.05,D$820*ModelInputs!C155*Abate_Pct_RentGap,D$820*ModelInputs!C155*Abate_Pct_RentGap,D$820*ModelInputs!C155*Abate_Pct_RentGap,D$820*ModelInputs!C155*Abate_Pct_RentGap,D$820*ModelInputs!C155*Abate_Pct_RentGap,D$820*ModelInputs!C155*Abate_Pct_RentGap,D$820*ModelInputs!C155*Abate_Pct_RentGap,D$820*ModelInputs!C155*Abate_Pct_RentGap,D$820*ModelInputs!C155*Abate_Pct_RentGap,D$820*ModelInputs!C155*Abate_Pct_RentGap)/2</f>
        <v>1511.5296123879266</v>
      </c>
      <c r="E824" s="53"/>
      <c r="F824" s="53"/>
      <c r="G824" s="24"/>
      <c r="H824" s="15"/>
      <c r="I824" s="15"/>
      <c r="J824" s="24"/>
      <c r="K824" s="51"/>
      <c r="L824" s="13"/>
      <c r="M824" s="54"/>
      <c r="N824" s="7"/>
      <c r="O824" s="12"/>
    </row>
    <row r="825" spans="2:15">
      <c r="B825" s="7"/>
      <c r="C825" s="175" t="s">
        <v>92</v>
      </c>
      <c r="D825" s="174">
        <f>NPV(0.05,D$820*ModelInputs!C156*Abate_Pct_RentGap,D$820*ModelInputs!C156*Abate_Pct_RentGap,D$820*ModelInputs!C156*Abate_Pct_RentGap,D$820*ModelInputs!C156*Abate_Pct_RentGap,D$820*ModelInputs!C156*Abate_Pct_RentGap,D$820*ModelInputs!C156*Abate_Pct_RentGap,D$820*ModelInputs!C156*Abate_Pct_RentGap,D$820*ModelInputs!C156*Abate_Pct_RentGap,D$820*ModelInputs!C156*Abate_Pct_RentGap,D$820*ModelInputs!C156*Abate_Pct_RentGap)/2</f>
        <v>1997.9989129265698</v>
      </c>
      <c r="E825" s="53"/>
      <c r="F825" s="53"/>
      <c r="G825" s="24"/>
      <c r="H825" s="15"/>
      <c r="I825" s="15"/>
      <c r="J825" s="24"/>
      <c r="K825" s="51"/>
      <c r="L825" s="13"/>
      <c r="M825" s="54"/>
      <c r="N825" s="7"/>
      <c r="O825" s="12"/>
    </row>
    <row r="826" spans="2:15">
      <c r="B826" s="7"/>
      <c r="C826" s="175" t="s">
        <v>93</v>
      </c>
      <c r="D826" s="174">
        <f>NPV(0.05,D$820*ModelInputs!C157*Abate_Pct_RentGap,D$820*ModelInputs!C157*Abate_Pct_RentGap,D$820*ModelInputs!C157*Abate_Pct_RentGap,D$820*ModelInputs!C157*Abate_Pct_RentGap,D$820*ModelInputs!C157*Abate_Pct_RentGap,D$820*ModelInputs!C157*Abate_Pct_RentGap,D$820*ModelInputs!C157*Abate_Pct_RentGap,D$820*ModelInputs!C157*Abate_Pct_RentGap,D$820*ModelInputs!C157*Abate_Pct_RentGap,D$820*ModelInputs!C157*Abate_Pct_RentGap)/2</f>
        <v>1476.7818052065952</v>
      </c>
      <c r="E826" s="53"/>
      <c r="F826" s="53"/>
      <c r="G826" s="24"/>
      <c r="H826" s="15"/>
      <c r="I826" s="15"/>
      <c r="J826" s="24"/>
      <c r="K826" s="51"/>
      <c r="L826" s="13"/>
      <c r="M826" s="54"/>
      <c r="N826" s="7"/>
      <c r="O826" s="12"/>
    </row>
    <row r="827" spans="2:15">
      <c r="B827" s="7"/>
      <c r="C827" s="175" t="s">
        <v>94</v>
      </c>
      <c r="D827" s="174">
        <f>NPV(0.05,D$820*ModelInputs!C158*Abate_Pct_RentGap,D$820*ModelInputs!C158*Abate_Pct_RentGap,D$820*ModelInputs!C158*Abate_Pct_RentGap,D$820*ModelInputs!C158*Abate_Pct_RentGap,D$820*ModelInputs!C158*Abate_Pct_RentGap,D$820*ModelInputs!C158*Abate_Pct_RentGap,D$820*ModelInputs!C158*Abate_Pct_RentGap,D$820*ModelInputs!C158*Abate_Pct_RentGap,D$820*ModelInputs!C158*Abate_Pct_RentGap,D$820*ModelInputs!C158*Abate_Pct_RentGap)/2</f>
        <v>1563.6513231599242</v>
      </c>
      <c r="E827" s="53"/>
      <c r="F827" s="53"/>
      <c r="G827" s="24"/>
      <c r="H827" s="15"/>
      <c r="I827" s="15"/>
      <c r="J827" s="24"/>
      <c r="K827" s="51"/>
      <c r="L827" s="13"/>
      <c r="M827" s="54"/>
      <c r="N827" s="7"/>
      <c r="O827" s="12"/>
    </row>
    <row r="828" spans="2:15">
      <c r="B828" s="7"/>
      <c r="C828" s="7"/>
      <c r="D828" s="24"/>
      <c r="E828" s="103"/>
      <c r="F828" s="53"/>
      <c r="G828" s="24"/>
      <c r="H828" s="15"/>
      <c r="I828" s="15"/>
      <c r="J828" s="24"/>
      <c r="K828" s="51"/>
      <c r="L828" s="13"/>
      <c r="M828" s="54"/>
      <c r="N828" s="7"/>
      <c r="O828" s="12"/>
    </row>
    <row r="829" spans="2:15">
      <c r="B829" s="7"/>
      <c r="C829" s="7"/>
      <c r="D829" s="24"/>
      <c r="E829" s="103"/>
      <c r="F829" s="53"/>
      <c r="G829" s="24"/>
      <c r="H829" s="15"/>
      <c r="I829" s="15"/>
      <c r="J829" s="24"/>
      <c r="K829" s="51"/>
      <c r="L829" s="13"/>
      <c r="M829" s="54"/>
      <c r="N829" s="7"/>
      <c r="O829" s="12"/>
    </row>
    <row r="833" spans="2:2">
      <c r="B833" t="s">
        <v>157</v>
      </c>
    </row>
  </sheetData>
  <mergeCells count="5">
    <mergeCell ref="N9:N10"/>
    <mergeCell ref="N13:N14"/>
    <mergeCell ref="N17:N18"/>
    <mergeCell ref="F10:F11"/>
    <mergeCell ref="F12:F13"/>
  </mergeCells>
  <conditionalFormatting sqref="J10 M12:N12">
    <cfRule type="cellIs" dxfId="32" priority="82" operator="equal">
      <formula>"Possibly Feasible"</formula>
    </cfRule>
    <cfRule type="cellIs" dxfId="31" priority="83" operator="equal">
      <formula>"Likely Feasible"</formula>
    </cfRule>
    <cfRule type="containsText" dxfId="30" priority="84" operator="containsText" text="Unlikely Feasibility">
      <formula>NOT(ISERROR(SEARCH("Unlikely Feasibility",J10)))</formula>
    </cfRule>
  </conditionalFormatting>
  <conditionalFormatting sqref="J14">
    <cfRule type="cellIs" dxfId="26" priority="33" operator="equal">
      <formula>"Possibly Feasible"</formula>
    </cfRule>
    <cfRule type="cellIs" dxfId="25" priority="34" operator="equal">
      <formula>"Likely Feasible"</formula>
    </cfRule>
    <cfRule type="containsText" dxfId="24" priority="35" operator="containsText" text="Unlikely Feasibility">
      <formula>NOT(ISERROR(SEARCH("Unlikely Feasibility",J14)))</formula>
    </cfRule>
  </conditionalFormatting>
  <conditionalFormatting sqref="J18">
    <cfRule type="cellIs" dxfId="20" priority="30" operator="equal">
      <formula>"Possibly Feasible"</formula>
    </cfRule>
    <cfRule type="cellIs" dxfId="19" priority="31" operator="equal">
      <formula>"Likely Feasible"</formula>
    </cfRule>
    <cfRule type="containsText" dxfId="18" priority="32" operator="containsText" text="Unlikely Feasibility">
      <formula>NOT(ISERROR(SEARCH("Unlikely Feasibility",J18)))</formula>
    </cfRule>
  </conditionalFormatting>
  <conditionalFormatting sqref="L10">
    <cfRule type="cellIs" dxfId="17" priority="15" operator="equal">
      <formula>"Possibly Feasible"</formula>
    </cfRule>
    <cfRule type="cellIs" dxfId="16" priority="16" operator="equal">
      <formula>"Likely Feasible"</formula>
    </cfRule>
    <cfRule type="containsText" dxfId="15" priority="17" operator="containsText" text="Unlikely Feasibility">
      <formula>NOT(ISERROR(SEARCH("Unlikely Feasibility",L10)))</formula>
    </cfRule>
  </conditionalFormatting>
  <conditionalFormatting sqref="L14">
    <cfRule type="cellIs" dxfId="14" priority="24" operator="equal">
      <formula>"Possibly Feasible"</formula>
    </cfRule>
    <cfRule type="cellIs" dxfId="13" priority="25" operator="equal">
      <formula>"Likely Feasible"</formula>
    </cfRule>
    <cfRule type="containsText" dxfId="12" priority="26" operator="containsText" text="Unlikely Feasibility">
      <formula>NOT(ISERROR(SEARCH("Unlikely Feasibility",L14)))</formula>
    </cfRule>
  </conditionalFormatting>
  <conditionalFormatting sqref="L18">
    <cfRule type="cellIs" dxfId="11" priority="21" operator="equal">
      <formula>"Possibly Feasible"</formula>
    </cfRule>
    <cfRule type="cellIs" dxfId="10" priority="22" operator="equal">
      <formula>"Likely Feasible"</formula>
    </cfRule>
    <cfRule type="containsText" dxfId="9" priority="23" operator="containsText" text="Unlikely Feasibility">
      <formula>NOT(ISERROR(SEARCH("Unlikely Feasibility",L18)))</formula>
    </cfRule>
  </conditionalFormatting>
  <conditionalFormatting sqref="N9">
    <cfRule type="cellIs" dxfId="8" priority="65" operator="greaterThan">
      <formula>0</formula>
    </cfRule>
    <cfRule type="cellIs" dxfId="7" priority="66" operator="lessThanOrEqual">
      <formula>0</formula>
    </cfRule>
  </conditionalFormatting>
  <conditionalFormatting sqref="N13">
    <cfRule type="cellIs" dxfId="6" priority="63" operator="greaterThan">
      <formula>0</formula>
    </cfRule>
    <cfRule type="cellIs" dxfId="5" priority="64" operator="lessThanOrEqual">
      <formula>0</formula>
    </cfRule>
  </conditionalFormatting>
  <conditionalFormatting sqref="N16">
    <cfRule type="cellIs" dxfId="4" priority="12" operator="equal">
      <formula>"Possibly Feasible"</formula>
    </cfRule>
    <cfRule type="cellIs" dxfId="3" priority="13" operator="equal">
      <formula>"Likely Feasible"</formula>
    </cfRule>
    <cfRule type="containsText" dxfId="2" priority="14" operator="containsText" text="Unlikely Feasibility">
      <formula>NOT(ISERROR(SEARCH("Unlikely Feasibility",N16)))</formula>
    </cfRule>
  </conditionalFormatting>
  <conditionalFormatting sqref="N17">
    <cfRule type="cellIs" dxfId="1" priority="10" operator="greaterThan">
      <formula>0</formula>
    </cfRule>
    <cfRule type="cellIs" dxfId="0" priority="11" operator="lessThanOrEqual">
      <formula>0</formula>
    </cfRule>
  </conditionalFormatting>
  <dataValidations count="4">
    <dataValidation type="list" allowBlank="1" showInputMessage="1" showErrorMessage="1" sqref="D9" xr:uid="{91025B1D-032A-4AC3-B9D1-E2CB80E01E7C}">
      <formula1>"Higher Priced,Lower Priced"</formula1>
    </dataValidation>
    <dataValidation type="list" allowBlank="1" showInputMessage="1" showErrorMessage="1" sqref="D18 G18 D27 G27" xr:uid="{79582E2B-F00E-4450-A4F3-95EFE9F8554C}">
      <formula1>"Yes, No"</formula1>
    </dataValidation>
    <dataValidation type="list" allowBlank="1" showInputMessage="1" showErrorMessage="1" sqref="D13" xr:uid="{4FDB4A13-00C2-4435-8442-A7208E3F41E1}">
      <formula1>"60%,80%,100%,120%"</formula1>
    </dataValidation>
    <dataValidation type="decimal" allowBlank="1" showInputMessage="1" showErrorMessage="1" sqref="G29" xr:uid="{ACF9EEDF-9704-479F-99A3-974CF3D2C506}">
      <formula1>0</formula1>
      <formula2>1</formula2>
    </dataValidation>
  </dataValidations>
  <hyperlinks>
    <hyperlink ref="O74" location="'Module 3'!O410" display="incentive IRRs" xr:uid="{E5A042F5-C5CB-4744-9118-831610E09706}"/>
    <hyperlink ref="O447" location="'Module 3'!O410" display="incentive IRRs" xr:uid="{D1024037-816F-469F-9651-E604B238F6B7}"/>
  </hyperlink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cellIs" priority="109" operator="greaterThanOrEqual" id="{A619BEA2-2389-47A6-98E6-84A3E9DB4574}">
            <xm:f>ModelInputs!$C$13</xm:f>
            <x14:dxf>
              <font>
                <color rgb="FF006100"/>
              </font>
              <fill>
                <patternFill>
                  <bgColor rgb="FFC6EFCE"/>
                </patternFill>
              </fill>
            </x14:dxf>
          </x14:cfRule>
          <x14:cfRule type="cellIs" priority="110" operator="between" id="{1047F251-251E-4FB2-9641-1042A8B1FFDA}">
            <xm:f>ModelInputs!$C$14</xm:f>
            <xm:f>ModelInputs!$C$13</xm:f>
            <x14:dxf>
              <font>
                <color theme="2" tint="-0.749961851863155"/>
              </font>
              <fill>
                <patternFill>
                  <bgColor rgb="FFCCCC00"/>
                </patternFill>
              </fill>
            </x14:dxf>
          </x14:cfRule>
          <x14:cfRule type="cellIs" priority="111" operator="lessThan" id="{8DC4FA0A-8CB9-42D1-A5A2-F7E7D80FBB09}">
            <xm:f>ModelInputs!$C$14</xm:f>
            <x14:dxf>
              <font>
                <color rgb="FF9C0006"/>
              </font>
              <fill>
                <patternFill>
                  <bgColor rgb="FFFFC7CE"/>
                </patternFill>
              </fill>
            </x14:dxf>
          </x14:cfRule>
          <xm:sqref>J9 L9</xm:sqref>
        </x14:conditionalFormatting>
        <x14:conditionalFormatting xmlns:xm="http://schemas.microsoft.com/office/excel/2006/main">
          <x14:cfRule type="cellIs" priority="103" operator="greaterThanOrEqual" id="{DAB0B8F4-AA75-45D5-9A6E-623E09B9F4D8}">
            <xm:f>ModelInputs!$C$9</xm:f>
            <x14:dxf>
              <font>
                <color rgb="FF006100"/>
              </font>
              <fill>
                <patternFill>
                  <bgColor rgb="FFC6EFCE"/>
                </patternFill>
              </fill>
            </x14:dxf>
          </x14:cfRule>
          <x14:cfRule type="cellIs" priority="104" operator="between" id="{7B6A12B5-E0AC-4639-A925-D22F0B46D583}">
            <xm:f>ModelInputs!$C$10</xm:f>
            <xm:f>ModelInputs!$C$9</xm:f>
            <x14:dxf>
              <font>
                <color theme="2" tint="-0.749961851863155"/>
              </font>
              <fill>
                <patternFill>
                  <bgColor rgb="FFCCCC00"/>
                </patternFill>
              </fill>
            </x14:dxf>
          </x14:cfRule>
          <x14:cfRule type="cellIs" priority="105" operator="lessThan" id="{A4945760-ED36-4610-8F71-04D0EDAD44E7}">
            <xm:f>ModelInputs!$C$10</xm:f>
            <x14:dxf>
              <font>
                <color rgb="FF9C0006"/>
              </font>
              <fill>
                <patternFill>
                  <bgColor rgb="FFFFC7CE"/>
                </patternFill>
              </fill>
            </x14:dxf>
          </x14:cfRule>
          <xm:sqref>J13 L13</xm:sqref>
        </x14:conditionalFormatting>
        <x14:conditionalFormatting xmlns:xm="http://schemas.microsoft.com/office/excel/2006/main">
          <x14:cfRule type="cellIs" priority="106" operator="greaterThanOrEqual" id="{00F7EBE9-C377-418E-934B-8FAD8AA47EC6}">
            <xm:f>ModelInputs!$C$5</xm:f>
            <x14:dxf>
              <font>
                <color rgb="FF006100"/>
              </font>
              <fill>
                <patternFill>
                  <bgColor rgb="FFC6EFCE"/>
                </patternFill>
              </fill>
            </x14:dxf>
          </x14:cfRule>
          <x14:cfRule type="cellIs" priority="107" operator="between" id="{60023509-F361-497D-A058-9DAD4C7598C1}">
            <xm:f>ModelInputs!$C$6</xm:f>
            <xm:f>ModelInputs!$C$5</xm:f>
            <x14:dxf>
              <font>
                <color theme="2" tint="-0.749961851863155"/>
              </font>
              <fill>
                <patternFill>
                  <bgColor rgb="FFCCCC00"/>
                </patternFill>
              </fill>
            </x14:dxf>
          </x14:cfRule>
          <x14:cfRule type="cellIs" priority="108" operator="lessThan" id="{EC052373-0AF5-4A61-8B4D-4730F14FEB73}">
            <xm:f>ModelInputs!$C$6</xm:f>
            <x14:dxf>
              <font>
                <color rgb="FF9C0006"/>
              </font>
              <fill>
                <patternFill>
                  <bgColor rgb="FFFFC7CE"/>
                </patternFill>
              </fill>
            </x14:dxf>
          </x14:cfRule>
          <xm:sqref>J17 L17</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B44CAE28-FA6B-4CCD-B520-5ECD73E8C06C}">
          <x14:formula1>
            <xm:f>ModelInputs!$B$29:$B$32</xm:f>
          </x14:formula1>
          <xm:sqref>D8</xm:sqref>
        </x14:dataValidation>
        <x14:dataValidation type="list" allowBlank="1" showInputMessage="1" showErrorMessage="1" xr:uid="{58764652-CEA0-4F23-82A1-631BAADCDC12}">
          <x14:formula1>
            <xm:f>ModelInputs!$B$64:$B$68</xm:f>
          </x14:formula1>
          <xm:sqref>D7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2DF8A5-49C7-4088-A825-4DA6AAE6F5F7}">
  <sheetPr codeName="Sheet14">
    <tabColor rgb="FF8295A6"/>
  </sheetPr>
  <dimension ref="B3:J15"/>
  <sheetViews>
    <sheetView showGridLines="0" workbookViewId="0">
      <selection activeCell="D15" sqref="D15"/>
    </sheetView>
  </sheetViews>
  <sheetFormatPr defaultRowHeight="14.4"/>
  <sheetData>
    <row r="3" spans="2:10" ht="25.8">
      <c r="B3" s="69" t="s">
        <v>64</v>
      </c>
    </row>
    <row r="5" spans="2:10" ht="18">
      <c r="C5" s="68" t="s">
        <v>154</v>
      </c>
      <c r="D5" s="66"/>
      <c r="E5" s="66"/>
      <c r="F5" s="66"/>
      <c r="G5" s="66"/>
      <c r="H5" s="66"/>
      <c r="I5" s="66"/>
    </row>
    <row r="6" spans="2:10">
      <c r="C6" s="67" t="s">
        <v>63</v>
      </c>
      <c r="D6" t="s">
        <v>59</v>
      </c>
    </row>
    <row r="7" spans="2:10">
      <c r="C7" s="67" t="s">
        <v>63</v>
      </c>
      <c r="D7" t="s">
        <v>60</v>
      </c>
    </row>
    <row r="8" spans="2:10">
      <c r="C8" s="67" t="s">
        <v>63</v>
      </c>
      <c r="D8" t="s">
        <v>61</v>
      </c>
    </row>
    <row r="9" spans="2:10">
      <c r="C9" s="67" t="s">
        <v>63</v>
      </c>
      <c r="D9" t="s">
        <v>58</v>
      </c>
    </row>
    <row r="10" spans="2:10">
      <c r="C10" s="67" t="s">
        <v>63</v>
      </c>
      <c r="D10" t="s">
        <v>80</v>
      </c>
    </row>
    <row r="11" spans="2:10">
      <c r="C11" s="67" t="s">
        <v>63</v>
      </c>
      <c r="D11" t="s">
        <v>62</v>
      </c>
    </row>
    <row r="12" spans="2:10">
      <c r="C12" s="67"/>
    </row>
    <row r="14" spans="2:10" ht="15.6">
      <c r="H14" s="95" t="s">
        <v>79</v>
      </c>
      <c r="I14" s="71"/>
      <c r="J14" t="s">
        <v>155</v>
      </c>
    </row>
    <row r="15" spans="2:10">
      <c r="C15" s="1" t="s">
        <v>86</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3AA949-D0DF-4174-BA92-EBB66DD4042F}">
  <sheetPr codeName="Sheet2"/>
  <dimension ref="B2:O158"/>
  <sheetViews>
    <sheetView topLeftCell="A30" workbookViewId="0">
      <selection activeCell="B42" sqref="B42"/>
    </sheetView>
  </sheetViews>
  <sheetFormatPr defaultColWidth="8.88671875" defaultRowHeight="14.4"/>
  <cols>
    <col min="1" max="1" width="8.88671875" style="26"/>
    <col min="2" max="2" width="23.33203125" style="26" customWidth="1"/>
    <col min="3" max="3" width="21.6640625" style="26" customWidth="1"/>
    <col min="4" max="4" width="16.88671875" style="26" customWidth="1"/>
    <col min="5" max="7" width="17.44140625" style="26" bestFit="1" customWidth="1"/>
    <col min="8" max="8" width="12.44140625" style="26" bestFit="1" customWidth="1"/>
    <col min="9" max="9" width="9.33203125" style="26" bestFit="1" customWidth="1"/>
    <col min="10" max="10" width="11.33203125" style="26" bestFit="1" customWidth="1"/>
    <col min="11" max="11" width="8.88671875" style="26" bestFit="1" customWidth="1"/>
    <col min="12" max="12" width="9.6640625" style="26" bestFit="1" customWidth="1"/>
    <col min="13" max="13" width="9.88671875" style="26" bestFit="1" customWidth="1"/>
    <col min="14" max="14" width="17.33203125" style="26" bestFit="1" customWidth="1"/>
    <col min="15" max="16384" width="8.88671875" style="26"/>
  </cols>
  <sheetData>
    <row r="2" spans="2:11">
      <c r="B2" s="30" t="s">
        <v>116</v>
      </c>
      <c r="C2" s="31"/>
      <c r="D2" s="31"/>
      <c r="E2" s="31"/>
      <c r="F2" s="31"/>
    </row>
    <row r="3" spans="2:11" customFormat="1"/>
    <row r="4" spans="2:11">
      <c r="B4" t="s">
        <v>137</v>
      </c>
      <c r="C4"/>
      <c r="D4"/>
      <c r="E4"/>
      <c r="F4"/>
      <c r="G4"/>
      <c r="H4"/>
      <c r="I4"/>
      <c r="J4"/>
      <c r="K4"/>
    </row>
    <row r="5" spans="2:11">
      <c r="B5" s="32" t="s">
        <v>49</v>
      </c>
      <c r="C5" s="198">
        <v>0.09</v>
      </c>
      <c r="D5"/>
      <c r="E5"/>
      <c r="F5"/>
      <c r="G5"/>
      <c r="H5"/>
      <c r="I5"/>
      <c r="J5"/>
      <c r="K5"/>
    </row>
    <row r="6" spans="2:11">
      <c r="B6" s="32" t="s">
        <v>50</v>
      </c>
      <c r="C6" s="198">
        <v>7.0000000000000007E-2</v>
      </c>
      <c r="D6"/>
      <c r="E6"/>
      <c r="F6"/>
      <c r="G6"/>
      <c r="H6"/>
      <c r="I6"/>
      <c r="J6"/>
      <c r="K6"/>
    </row>
    <row r="7" spans="2:11">
      <c r="B7"/>
      <c r="C7" s="200"/>
      <c r="D7"/>
      <c r="E7"/>
      <c r="F7"/>
      <c r="G7"/>
      <c r="H7"/>
      <c r="I7"/>
      <c r="J7"/>
      <c r="K7"/>
    </row>
    <row r="8" spans="2:11">
      <c r="B8" t="s">
        <v>138</v>
      </c>
      <c r="C8" s="200"/>
      <c r="D8"/>
      <c r="E8"/>
      <c r="F8"/>
      <c r="G8"/>
      <c r="H8"/>
      <c r="I8"/>
      <c r="J8"/>
      <c r="K8"/>
    </row>
    <row r="9" spans="2:11">
      <c r="B9" s="32" t="s">
        <v>49</v>
      </c>
      <c r="C9" s="198">
        <v>0.2</v>
      </c>
      <c r="D9"/>
      <c r="E9"/>
      <c r="F9"/>
      <c r="G9"/>
      <c r="H9"/>
      <c r="I9"/>
      <c r="J9"/>
      <c r="K9"/>
    </row>
    <row r="10" spans="2:11">
      <c r="B10" s="32" t="s">
        <v>50</v>
      </c>
      <c r="C10" s="198">
        <v>0.16</v>
      </c>
      <c r="D10"/>
      <c r="E10"/>
      <c r="F10"/>
      <c r="G10"/>
      <c r="H10"/>
      <c r="I10"/>
      <c r="J10"/>
      <c r="K10"/>
    </row>
    <row r="12" spans="2:11">
      <c r="B12" s="26" t="s">
        <v>117</v>
      </c>
    </row>
    <row r="13" spans="2:11">
      <c r="B13" s="32" t="s">
        <v>49</v>
      </c>
      <c r="C13" s="198">
        <v>0.2</v>
      </c>
    </row>
    <row r="14" spans="2:11">
      <c r="B14" s="32" t="s">
        <v>50</v>
      </c>
      <c r="C14" s="198">
        <v>0.16</v>
      </c>
    </row>
    <row r="17" spans="2:6">
      <c r="B17" s="30" t="s">
        <v>88</v>
      </c>
      <c r="C17" s="31"/>
      <c r="D17" s="31"/>
      <c r="E17" s="31"/>
      <c r="F17" s="31"/>
    </row>
    <row r="18" spans="2:6">
      <c r="B18"/>
      <c r="C18"/>
      <c r="D18"/>
    </row>
    <row r="19" spans="2:6">
      <c r="B19" s="33"/>
      <c r="C19" s="196" t="s">
        <v>1</v>
      </c>
      <c r="D19" s="196" t="s">
        <v>24</v>
      </c>
      <c r="E19" s="196" t="s">
        <v>25</v>
      </c>
      <c r="F19" s="196" t="s">
        <v>2</v>
      </c>
    </row>
    <row r="20" spans="2:6">
      <c r="B20" s="32" t="s">
        <v>90</v>
      </c>
      <c r="C20" s="197">
        <v>90000</v>
      </c>
      <c r="D20" s="197">
        <v>25000</v>
      </c>
      <c r="E20" s="197">
        <v>25000</v>
      </c>
      <c r="F20" s="197">
        <v>75000</v>
      </c>
    </row>
    <row r="21" spans="2:6">
      <c r="B21" s="32" t="s">
        <v>102</v>
      </c>
      <c r="C21" s="197">
        <v>100000</v>
      </c>
      <c r="D21" s="197">
        <v>35000</v>
      </c>
      <c r="E21" s="197">
        <v>25000</v>
      </c>
      <c r="F21" s="197">
        <v>95000</v>
      </c>
    </row>
    <row r="22" spans="2:6">
      <c r="B22" s="32" t="s">
        <v>92</v>
      </c>
      <c r="C22" s="197">
        <v>125000</v>
      </c>
      <c r="D22" s="197">
        <v>40000</v>
      </c>
      <c r="E22" s="197">
        <v>30000</v>
      </c>
      <c r="F22" s="197">
        <v>100000</v>
      </c>
    </row>
    <row r="23" spans="2:6">
      <c r="B23" s="32" t="s">
        <v>93</v>
      </c>
      <c r="C23" s="197">
        <v>100000</v>
      </c>
      <c r="D23" s="197">
        <v>25000</v>
      </c>
      <c r="E23" s="197">
        <v>20000</v>
      </c>
      <c r="F23" s="197">
        <v>90000</v>
      </c>
    </row>
    <row r="24" spans="2:6">
      <c r="B24" s="32" t="s">
        <v>94</v>
      </c>
      <c r="C24" s="197">
        <v>95000</v>
      </c>
      <c r="D24" s="197">
        <v>25000</v>
      </c>
      <c r="E24" s="197">
        <v>20000</v>
      </c>
      <c r="F24" s="197">
        <v>80000</v>
      </c>
    </row>
    <row r="26" spans="2:6">
      <c r="B26" s="30" t="s">
        <v>162</v>
      </c>
      <c r="C26" s="31"/>
      <c r="D26" s="31"/>
      <c r="E26" s="31"/>
      <c r="F26" s="31"/>
    </row>
    <row r="27" spans="2:6">
      <c r="B27" s="1"/>
      <c r="C27" s="31"/>
      <c r="D27"/>
      <c r="E27"/>
      <c r="F27"/>
    </row>
    <row r="28" spans="2:6">
      <c r="C28" s="33" t="s">
        <v>160</v>
      </c>
      <c r="D28" s="33" t="s">
        <v>161</v>
      </c>
    </row>
    <row r="29" spans="2:6">
      <c r="B29" s="35" t="s">
        <v>1</v>
      </c>
      <c r="C29" s="93">
        <v>110000</v>
      </c>
      <c r="D29" s="93">
        <v>90000</v>
      </c>
    </row>
    <row r="30" spans="2:6">
      <c r="B30" s="35" t="s">
        <v>24</v>
      </c>
      <c r="C30" s="93">
        <v>25000</v>
      </c>
      <c r="D30" s="93">
        <v>20000</v>
      </c>
    </row>
    <row r="31" spans="2:6">
      <c r="B31" s="35" t="s">
        <v>25</v>
      </c>
      <c r="C31" s="93">
        <v>25000</v>
      </c>
      <c r="D31" s="93">
        <v>20000</v>
      </c>
    </row>
    <row r="32" spans="2:6">
      <c r="B32" s="35" t="s">
        <v>2</v>
      </c>
      <c r="C32" s="93">
        <v>100000</v>
      </c>
      <c r="D32" s="93">
        <v>80000</v>
      </c>
    </row>
    <row r="34" spans="2:15">
      <c r="B34" s="30" t="s">
        <v>158</v>
      </c>
      <c r="C34" s="31"/>
      <c r="D34" s="31"/>
      <c r="E34" s="31"/>
      <c r="F34"/>
      <c r="G34"/>
      <c r="H34"/>
      <c r="J34" s="99"/>
      <c r="K34" s="99"/>
    </row>
    <row r="35" spans="2:15">
      <c r="G35"/>
      <c r="H35"/>
      <c r="I35"/>
      <c r="J35"/>
      <c r="K35"/>
      <c r="L35"/>
      <c r="M35"/>
      <c r="N35"/>
      <c r="O35"/>
    </row>
    <row r="36" spans="2:15">
      <c r="B36" s="33" t="s">
        <v>0</v>
      </c>
      <c r="C36" s="33" t="s">
        <v>95</v>
      </c>
      <c r="D36" s="33" t="s">
        <v>96</v>
      </c>
      <c r="G36"/>
      <c r="H36"/>
      <c r="I36"/>
      <c r="J36"/>
      <c r="K36"/>
      <c r="L36"/>
      <c r="M36"/>
      <c r="N36"/>
      <c r="O36"/>
    </row>
    <row r="37" spans="2:15">
      <c r="B37" s="35" t="s">
        <v>1</v>
      </c>
      <c r="C37" s="93">
        <v>225000</v>
      </c>
      <c r="D37" s="93">
        <v>300000</v>
      </c>
      <c r="G37"/>
      <c r="H37"/>
      <c r="I37"/>
      <c r="J37"/>
      <c r="K37"/>
      <c r="L37"/>
      <c r="M37"/>
      <c r="N37"/>
      <c r="O37"/>
    </row>
    <row r="38" spans="2:15">
      <c r="B38" s="35" t="s">
        <v>24</v>
      </c>
      <c r="C38" s="93">
        <v>240000</v>
      </c>
      <c r="D38" s="93">
        <v>300000</v>
      </c>
      <c r="G38"/>
      <c r="H38" s="100"/>
      <c r="I38"/>
      <c r="J38"/>
      <c r="K38"/>
      <c r="L38"/>
      <c r="M38"/>
      <c r="N38"/>
      <c r="O38"/>
    </row>
    <row r="39" spans="2:15">
      <c r="B39" s="35" t="s">
        <v>25</v>
      </c>
      <c r="C39" s="93">
        <v>280000</v>
      </c>
      <c r="D39" s="93">
        <v>350000</v>
      </c>
      <c r="G39"/>
      <c r="H39"/>
      <c r="I39"/>
      <c r="J39"/>
      <c r="K39"/>
      <c r="L39"/>
      <c r="M39"/>
      <c r="N39"/>
      <c r="O39"/>
    </row>
    <row r="40" spans="2:15">
      <c r="B40" s="35" t="s">
        <v>2</v>
      </c>
      <c r="C40" s="93">
        <v>180000</v>
      </c>
      <c r="D40" s="93">
        <v>225000</v>
      </c>
      <c r="G40"/>
      <c r="H40"/>
      <c r="I40"/>
      <c r="J40"/>
      <c r="K40"/>
      <c r="L40"/>
      <c r="M40"/>
      <c r="N40"/>
      <c r="O40"/>
    </row>
    <row r="41" spans="2:15">
      <c r="G41"/>
      <c r="H41"/>
      <c r="I41"/>
      <c r="J41"/>
      <c r="K41"/>
      <c r="L41"/>
      <c r="M41"/>
      <c r="N41"/>
      <c r="O41"/>
    </row>
    <row r="42" spans="2:15">
      <c r="H42"/>
      <c r="I42"/>
      <c r="J42"/>
      <c r="K42"/>
      <c r="L42"/>
      <c r="M42"/>
      <c r="N42"/>
      <c r="O42"/>
    </row>
    <row r="43" spans="2:15">
      <c r="B43"/>
      <c r="C43"/>
    </row>
    <row r="44" spans="2:15">
      <c r="B44" s="30" t="s">
        <v>41</v>
      </c>
      <c r="C44" s="31"/>
    </row>
    <row r="45" spans="2:15">
      <c r="B45" s="30"/>
      <c r="C45" s="31"/>
    </row>
    <row r="46" spans="2:15">
      <c r="B46" s="33"/>
      <c r="C46" s="33" t="s">
        <v>196</v>
      </c>
      <c r="D46" s="33" t="s">
        <v>194</v>
      </c>
      <c r="E46" s="33" t="s">
        <v>195</v>
      </c>
    </row>
    <row r="47" spans="2:15">
      <c r="B47" s="32" t="s">
        <v>90</v>
      </c>
      <c r="C47" s="199">
        <v>0</v>
      </c>
      <c r="D47" s="199">
        <v>2000</v>
      </c>
      <c r="E47" s="199">
        <v>1500</v>
      </c>
    </row>
    <row r="48" spans="2:15">
      <c r="B48" s="32" t="s">
        <v>92</v>
      </c>
      <c r="C48" s="199">
        <v>7500</v>
      </c>
      <c r="D48" s="199">
        <v>550</v>
      </c>
      <c r="E48" s="199">
        <v>300</v>
      </c>
    </row>
    <row r="49" spans="2:6">
      <c r="B49" s="32" t="s">
        <v>102</v>
      </c>
      <c r="C49" s="199">
        <v>4500</v>
      </c>
      <c r="D49" s="199">
        <v>4000</v>
      </c>
      <c r="E49" s="199">
        <v>3000</v>
      </c>
    </row>
    <row r="50" spans="2:6">
      <c r="B50" s="32" t="s">
        <v>94</v>
      </c>
      <c r="C50" s="199">
        <v>2000</v>
      </c>
      <c r="D50" s="199">
        <v>4000</v>
      </c>
      <c r="E50" s="199">
        <v>3000</v>
      </c>
    </row>
    <row r="51" spans="2:6">
      <c r="B51" s="32" t="s">
        <v>93</v>
      </c>
      <c r="C51" s="199">
        <v>2500</v>
      </c>
      <c r="D51" s="199">
        <v>2000</v>
      </c>
      <c r="E51" s="199">
        <v>1500</v>
      </c>
    </row>
    <row r="54" spans="2:6">
      <c r="B54" s="30" t="s">
        <v>104</v>
      </c>
      <c r="C54" s="31"/>
      <c r="D54" s="31"/>
      <c r="E54" s="31"/>
      <c r="F54" s="31"/>
    </row>
    <row r="55" spans="2:6">
      <c r="B55"/>
      <c r="C55"/>
      <c r="D55"/>
    </row>
    <row r="56" spans="2:6">
      <c r="B56" s="33" t="s">
        <v>105</v>
      </c>
      <c r="C56" s="196" t="s">
        <v>1</v>
      </c>
      <c r="D56" s="196" t="s">
        <v>24</v>
      </c>
      <c r="E56" s="196" t="s">
        <v>25</v>
      </c>
      <c r="F56" s="196" t="s">
        <v>2</v>
      </c>
    </row>
    <row r="57" spans="2:6">
      <c r="B57" s="32" t="s">
        <v>90</v>
      </c>
      <c r="C57" s="197">
        <v>450000</v>
      </c>
      <c r="D57" s="197">
        <v>325000</v>
      </c>
      <c r="E57" s="197">
        <v>375000</v>
      </c>
      <c r="F57" s="197">
        <v>300000</v>
      </c>
    </row>
    <row r="58" spans="2:6">
      <c r="B58" s="32" t="s">
        <v>102</v>
      </c>
      <c r="C58" s="197">
        <v>425000</v>
      </c>
      <c r="D58" s="197">
        <v>350000</v>
      </c>
      <c r="E58" s="197">
        <v>400000</v>
      </c>
      <c r="F58" s="197">
        <v>300000</v>
      </c>
    </row>
    <row r="59" spans="2:6">
      <c r="B59" s="32" t="s">
        <v>92</v>
      </c>
      <c r="C59" s="197">
        <v>550000</v>
      </c>
      <c r="D59" s="197">
        <v>350000</v>
      </c>
      <c r="E59" s="197">
        <v>425000</v>
      </c>
      <c r="F59" s="197">
        <v>350000</v>
      </c>
    </row>
    <row r="60" spans="2:6">
      <c r="B60" s="32" t="s">
        <v>93</v>
      </c>
      <c r="C60" s="197">
        <v>475000</v>
      </c>
      <c r="D60" s="197">
        <v>275000</v>
      </c>
      <c r="E60" s="197">
        <v>325000</v>
      </c>
      <c r="F60" s="197">
        <v>300000</v>
      </c>
    </row>
    <row r="61" spans="2:6">
      <c r="B61" s="32" t="s">
        <v>94</v>
      </c>
      <c r="C61" s="197">
        <v>475000</v>
      </c>
      <c r="D61" s="197">
        <v>300000</v>
      </c>
      <c r="E61" s="197">
        <v>325000</v>
      </c>
      <c r="F61" s="197">
        <v>300000</v>
      </c>
    </row>
    <row r="63" spans="2:6">
      <c r="B63" s="33" t="s">
        <v>106</v>
      </c>
      <c r="C63" s="196" t="s">
        <v>1</v>
      </c>
      <c r="D63" s="196" t="s">
        <v>24</v>
      </c>
      <c r="E63" s="196" t="s">
        <v>25</v>
      </c>
      <c r="F63" s="196" t="s">
        <v>2</v>
      </c>
    </row>
    <row r="64" spans="2:6">
      <c r="B64" s="32" t="s">
        <v>90</v>
      </c>
      <c r="C64" s="197">
        <v>625000</v>
      </c>
      <c r="D64" s="197">
        <v>450000</v>
      </c>
      <c r="E64" s="197">
        <v>525000</v>
      </c>
      <c r="F64" s="197">
        <v>425000</v>
      </c>
    </row>
    <row r="65" spans="2:6">
      <c r="B65" s="32" t="s">
        <v>102</v>
      </c>
      <c r="C65" s="197">
        <v>600000</v>
      </c>
      <c r="D65" s="197">
        <v>425000</v>
      </c>
      <c r="E65" s="197">
        <v>500000</v>
      </c>
      <c r="F65" s="197">
        <v>400000</v>
      </c>
    </row>
    <row r="66" spans="2:6">
      <c r="B66" s="32" t="s">
        <v>92</v>
      </c>
      <c r="C66" s="197">
        <v>650000</v>
      </c>
      <c r="D66" s="197">
        <v>450000</v>
      </c>
      <c r="E66" s="197">
        <v>550000</v>
      </c>
      <c r="F66" s="197">
        <v>525000</v>
      </c>
    </row>
    <row r="67" spans="2:6">
      <c r="B67" s="32" t="s">
        <v>93</v>
      </c>
      <c r="C67" s="197">
        <v>575000</v>
      </c>
      <c r="D67" s="197">
        <v>375000</v>
      </c>
      <c r="E67" s="197">
        <v>425000</v>
      </c>
      <c r="F67" s="197">
        <v>400000</v>
      </c>
    </row>
    <row r="68" spans="2:6">
      <c r="B68" s="32" t="s">
        <v>94</v>
      </c>
      <c r="C68" s="197">
        <v>575000</v>
      </c>
      <c r="D68" s="197">
        <v>375000</v>
      </c>
      <c r="E68" s="197">
        <v>400000</v>
      </c>
      <c r="F68" s="197">
        <v>400000</v>
      </c>
    </row>
    <row r="70" spans="2:6">
      <c r="B70" s="34" t="s">
        <v>16</v>
      </c>
      <c r="C70" s="196" t="s">
        <v>16</v>
      </c>
    </row>
    <row r="71" spans="2:6">
      <c r="B71" s="32" t="s">
        <v>90</v>
      </c>
      <c r="C71" s="197">
        <v>130000</v>
      </c>
    </row>
    <row r="72" spans="2:6">
      <c r="B72" s="32" t="s">
        <v>102</v>
      </c>
      <c r="C72" s="197">
        <f>132000</f>
        <v>132000</v>
      </c>
    </row>
    <row r="73" spans="2:6">
      <c r="B73" s="32" t="s">
        <v>92</v>
      </c>
      <c r="C73" s="197">
        <v>130000</v>
      </c>
    </row>
    <row r="74" spans="2:6">
      <c r="B74" s="32" t="s">
        <v>93</v>
      </c>
      <c r="C74" s="197">
        <v>132000</v>
      </c>
    </row>
    <row r="75" spans="2:6">
      <c r="B75" s="32" t="s">
        <v>94</v>
      </c>
      <c r="C75" s="197">
        <v>132000</v>
      </c>
    </row>
    <row r="78" spans="2:6" hidden="1">
      <c r="B78" s="30" t="s">
        <v>48</v>
      </c>
      <c r="C78" s="31"/>
      <c r="D78" s="31"/>
    </row>
    <row r="79" spans="2:6" hidden="1">
      <c r="B79"/>
      <c r="C79"/>
      <c r="D79"/>
    </row>
    <row r="80" spans="2:6" hidden="1">
      <c r="B80" s="33" t="s">
        <v>0</v>
      </c>
      <c r="C80" s="33" t="s">
        <v>96</v>
      </c>
      <c r="D80" s="33" t="s">
        <v>95</v>
      </c>
    </row>
    <row r="81" spans="2:5" hidden="1">
      <c r="B81" s="32" t="s">
        <v>26</v>
      </c>
      <c r="C81" s="201">
        <v>2</v>
      </c>
      <c r="D81" s="201">
        <v>2</v>
      </c>
    </row>
    <row r="82" spans="2:5" hidden="1">
      <c r="B82" s="32" t="s">
        <v>23</v>
      </c>
      <c r="C82" s="201">
        <v>2</v>
      </c>
      <c r="D82" s="201">
        <v>2</v>
      </c>
    </row>
    <row r="83" spans="2:5" hidden="1">
      <c r="B83" s="32" t="s">
        <v>24</v>
      </c>
      <c r="C83" s="201">
        <v>2</v>
      </c>
      <c r="D83" s="201">
        <v>2</v>
      </c>
    </row>
    <row r="84" spans="2:5" hidden="1">
      <c r="B84" s="32" t="s">
        <v>25</v>
      </c>
      <c r="C84" s="201">
        <v>2</v>
      </c>
      <c r="D84" s="201">
        <v>2</v>
      </c>
    </row>
    <row r="85" spans="2:5" hidden="1">
      <c r="B85" s="32" t="s">
        <v>1</v>
      </c>
      <c r="C85" s="201">
        <v>2</v>
      </c>
      <c r="D85" s="201">
        <v>2</v>
      </c>
    </row>
    <row r="86" spans="2:5" hidden="1">
      <c r="B86" s="32" t="s">
        <v>2</v>
      </c>
      <c r="C86" s="201">
        <v>2</v>
      </c>
      <c r="D86" s="201">
        <v>2</v>
      </c>
    </row>
    <row r="87" spans="2:5" hidden="1"/>
    <row r="89" spans="2:5">
      <c r="B89" s="30" t="s">
        <v>71</v>
      </c>
      <c r="C89" s="31"/>
      <c r="D89" s="31"/>
      <c r="E89" s="31"/>
    </row>
    <row r="90" spans="2:5">
      <c r="B90"/>
      <c r="C90"/>
      <c r="D90"/>
      <c r="E90"/>
    </row>
    <row r="91" spans="2:5">
      <c r="B91" s="33" t="s">
        <v>42</v>
      </c>
      <c r="C91" s="33" t="s">
        <v>10</v>
      </c>
      <c r="D91"/>
      <c r="E91"/>
    </row>
    <row r="92" spans="2:5">
      <c r="B92" s="32" t="s">
        <v>139</v>
      </c>
      <c r="C92" s="202">
        <v>0.65</v>
      </c>
      <c r="D92"/>
      <c r="E92"/>
    </row>
    <row r="93" spans="2:5">
      <c r="B93" s="32" t="s">
        <v>11</v>
      </c>
      <c r="C93" s="203">
        <v>0.06</v>
      </c>
      <c r="D93"/>
      <c r="E93"/>
    </row>
    <row r="94" spans="2:5">
      <c r="B94" s="32" t="s">
        <v>73</v>
      </c>
      <c r="C94" s="204">
        <v>360</v>
      </c>
      <c r="D94"/>
      <c r="E94"/>
    </row>
    <row r="95" spans="2:5">
      <c r="B95" s="32" t="s">
        <v>12</v>
      </c>
      <c r="C95" s="203">
        <v>0.01</v>
      </c>
      <c r="D95"/>
      <c r="E95"/>
    </row>
    <row r="96" spans="2:5">
      <c r="B96" s="90" t="s">
        <v>37</v>
      </c>
      <c r="C96" s="204">
        <v>12</v>
      </c>
      <c r="D96"/>
      <c r="E96"/>
    </row>
    <row r="97" spans="2:8">
      <c r="B97"/>
      <c r="C97"/>
      <c r="D97"/>
      <c r="E97"/>
    </row>
    <row r="98" spans="2:8">
      <c r="B98"/>
      <c r="C98"/>
      <c r="D98"/>
      <c r="E98"/>
    </row>
    <row r="101" spans="2:8" hidden="1">
      <c r="B101" s="30" t="s">
        <v>83</v>
      </c>
      <c r="C101" s="31"/>
      <c r="D101" s="31"/>
      <c r="E101" s="31"/>
      <c r="F101" s="31"/>
      <c r="G101" s="31"/>
      <c r="H101" s="31"/>
    </row>
    <row r="102" spans="2:8" hidden="1">
      <c r="B102"/>
      <c r="C102"/>
      <c r="D102"/>
      <c r="E102"/>
      <c r="F102"/>
      <c r="G102"/>
      <c r="H102"/>
    </row>
    <row r="103" spans="2:8" hidden="1">
      <c r="B103" s="33" t="s">
        <v>42</v>
      </c>
      <c r="C103" s="205" t="s">
        <v>77</v>
      </c>
      <c r="D103"/>
      <c r="E103"/>
      <c r="F103"/>
      <c r="G103"/>
      <c r="H103"/>
    </row>
    <row r="104" spans="2:8" hidden="1">
      <c r="B104" s="32" t="s">
        <v>84</v>
      </c>
      <c r="C104" s="206">
        <v>0.95</v>
      </c>
      <c r="D104"/>
      <c r="E104"/>
      <c r="F104"/>
      <c r="G104"/>
      <c r="H104"/>
    </row>
    <row r="105" spans="2:8" hidden="1">
      <c r="B105" s="32" t="s">
        <v>85</v>
      </c>
      <c r="C105" s="206">
        <v>0.97</v>
      </c>
      <c r="D105"/>
      <c r="E105"/>
      <c r="F105"/>
      <c r="G105"/>
      <c r="H105"/>
    </row>
    <row r="106" spans="2:8" hidden="1"/>
    <row r="107" spans="2:8" hidden="1"/>
    <row r="108" spans="2:8">
      <c r="B108" s="30" t="s">
        <v>27</v>
      </c>
      <c r="C108" s="31"/>
      <c r="D108" s="31"/>
      <c r="E108" s="31"/>
      <c r="F108" s="31"/>
      <c r="G108" s="31"/>
    </row>
    <row r="109" spans="2:8">
      <c r="B109"/>
      <c r="C109"/>
      <c r="D109"/>
      <c r="E109"/>
      <c r="F109"/>
      <c r="G109"/>
    </row>
    <row r="110" spans="2:8">
      <c r="B110" s="33" t="s">
        <v>0</v>
      </c>
      <c r="C110" s="33" t="s">
        <v>43</v>
      </c>
      <c r="D110"/>
      <c r="E110"/>
      <c r="F110"/>
      <c r="G110"/>
    </row>
    <row r="111" spans="2:8">
      <c r="B111" s="32" t="s">
        <v>26</v>
      </c>
      <c r="C111" s="201">
        <v>12</v>
      </c>
      <c r="D111"/>
      <c r="E111"/>
      <c r="F111"/>
      <c r="G111"/>
    </row>
    <row r="112" spans="2:8">
      <c r="B112" s="32" t="s">
        <v>23</v>
      </c>
      <c r="C112" s="201">
        <v>16</v>
      </c>
      <c r="D112"/>
      <c r="E112"/>
      <c r="F112"/>
      <c r="G112"/>
    </row>
    <row r="113" spans="2:7">
      <c r="B113" s="32" t="s">
        <v>24</v>
      </c>
      <c r="C113" s="201">
        <v>18</v>
      </c>
      <c r="D113"/>
      <c r="E113"/>
      <c r="F113"/>
      <c r="G113"/>
    </row>
    <row r="114" spans="2:7">
      <c r="B114" s="32" t="s">
        <v>25</v>
      </c>
      <c r="C114" s="201">
        <v>24</v>
      </c>
      <c r="D114"/>
      <c r="E114"/>
      <c r="F114"/>
      <c r="G114"/>
    </row>
    <row r="115" spans="2:7">
      <c r="B115" s="32" t="s">
        <v>1</v>
      </c>
      <c r="C115" s="201">
        <v>10</v>
      </c>
      <c r="D115"/>
      <c r="E115"/>
      <c r="F115"/>
      <c r="G115"/>
    </row>
    <row r="116" spans="2:7">
      <c r="B116" s="32" t="s">
        <v>2</v>
      </c>
      <c r="C116" s="201">
        <v>10</v>
      </c>
      <c r="D116"/>
      <c r="E116"/>
      <c r="F116"/>
      <c r="G116"/>
    </row>
    <row r="117" spans="2:7">
      <c r="B117" s="31"/>
      <c r="C117"/>
      <c r="D117"/>
      <c r="E117"/>
      <c r="F117"/>
      <c r="G117"/>
    </row>
    <row r="118" spans="2:7">
      <c r="B118" s="30" t="s">
        <v>47</v>
      </c>
      <c r="C118" s="31"/>
      <c r="D118" s="31"/>
      <c r="E118" s="31"/>
      <c r="F118" s="31"/>
      <c r="G118" s="31"/>
    </row>
    <row r="120" spans="2:7">
      <c r="B120" s="33" t="s">
        <v>0</v>
      </c>
      <c r="C120" s="33" t="s">
        <v>96</v>
      </c>
      <c r="D120" s="33" t="s">
        <v>95</v>
      </c>
    </row>
    <row r="121" spans="2:7">
      <c r="B121" s="32" t="s">
        <v>26</v>
      </c>
      <c r="C121" s="201">
        <v>24</v>
      </c>
      <c r="D121" s="201">
        <v>24</v>
      </c>
    </row>
    <row r="122" spans="2:7">
      <c r="B122" s="32" t="s">
        <v>23</v>
      </c>
      <c r="C122" s="201">
        <v>24</v>
      </c>
      <c r="D122" s="201">
        <v>24</v>
      </c>
    </row>
    <row r="123" spans="2:7">
      <c r="B123" s="32" t="s">
        <v>24</v>
      </c>
      <c r="C123" s="201">
        <v>24</v>
      </c>
      <c r="D123" s="201">
        <v>24</v>
      </c>
    </row>
    <row r="124" spans="2:7">
      <c r="B124" s="32" t="s">
        <v>25</v>
      </c>
      <c r="C124" s="201">
        <v>24</v>
      </c>
      <c r="D124" s="201">
        <v>24</v>
      </c>
    </row>
    <row r="125" spans="2:7">
      <c r="B125" s="32" t="s">
        <v>1</v>
      </c>
      <c r="C125" s="201">
        <v>24</v>
      </c>
      <c r="D125" s="201">
        <v>24</v>
      </c>
    </row>
    <row r="126" spans="2:7">
      <c r="B126" s="32" t="s">
        <v>2</v>
      </c>
      <c r="C126" s="201">
        <v>24</v>
      </c>
      <c r="D126" s="201">
        <v>24</v>
      </c>
    </row>
    <row r="128" spans="2:7" hidden="1"/>
    <row r="129" spans="2:7" hidden="1"/>
    <row r="130" spans="2:7" hidden="1"/>
    <row r="131" spans="2:7" hidden="1"/>
    <row r="132" spans="2:7" hidden="1"/>
    <row r="133" spans="2:7" hidden="1"/>
    <row r="134" spans="2:7" hidden="1"/>
    <row r="135" spans="2:7" hidden="1">
      <c r="B135" s="33" t="s">
        <v>77</v>
      </c>
      <c r="C135" s="33" t="s">
        <v>78</v>
      </c>
      <c r="D135"/>
      <c r="E135"/>
    </row>
    <row r="136" spans="2:7" hidden="1">
      <c r="B136" s="94">
        <v>0.98</v>
      </c>
      <c r="C136" s="32" t="s">
        <v>15</v>
      </c>
      <c r="D136"/>
      <c r="E136"/>
    </row>
    <row r="137" spans="2:7" hidden="1"/>
    <row r="138" spans="2:7" hidden="1"/>
    <row r="139" spans="2:7" hidden="1"/>
    <row r="140" spans="2:7" hidden="1">
      <c r="B140" s="30" t="s">
        <v>48</v>
      </c>
      <c r="C140" s="31"/>
      <c r="D140" s="31"/>
      <c r="E140" s="31"/>
      <c r="F140" s="31"/>
      <c r="G140" s="31"/>
    </row>
    <row r="141" spans="2:7" hidden="1">
      <c r="B141"/>
      <c r="C141"/>
      <c r="D141"/>
      <c r="E141"/>
      <c r="F141"/>
      <c r="G141"/>
    </row>
    <row r="142" spans="2:7" hidden="1">
      <c r="B142" s="33" t="s">
        <v>0</v>
      </c>
      <c r="C142" s="33" t="s">
        <v>96</v>
      </c>
      <c r="D142" s="33" t="s">
        <v>95</v>
      </c>
    </row>
    <row r="143" spans="2:7" hidden="1">
      <c r="B143" s="32" t="s">
        <v>26</v>
      </c>
      <c r="C143" s="201">
        <v>2</v>
      </c>
      <c r="D143" s="201">
        <v>2</v>
      </c>
    </row>
    <row r="144" spans="2:7" hidden="1">
      <c r="B144" s="32" t="s">
        <v>23</v>
      </c>
      <c r="C144" s="201">
        <v>2</v>
      </c>
      <c r="D144" s="201">
        <v>2</v>
      </c>
    </row>
    <row r="145" spans="2:4" hidden="1">
      <c r="B145" s="32" t="s">
        <v>24</v>
      </c>
      <c r="C145" s="201">
        <v>2</v>
      </c>
      <c r="D145" s="201">
        <v>2</v>
      </c>
    </row>
    <row r="146" spans="2:4" hidden="1">
      <c r="B146" s="32" t="s">
        <v>25</v>
      </c>
      <c r="C146" s="201">
        <v>2</v>
      </c>
      <c r="D146" s="201">
        <v>2</v>
      </c>
    </row>
    <row r="147" spans="2:4" hidden="1">
      <c r="B147" s="32" t="s">
        <v>1</v>
      </c>
      <c r="C147" s="201">
        <v>2</v>
      </c>
      <c r="D147" s="201">
        <v>2</v>
      </c>
    </row>
    <row r="148" spans="2:4" hidden="1">
      <c r="B148" s="32" t="s">
        <v>2</v>
      </c>
      <c r="C148" s="201">
        <v>2</v>
      </c>
      <c r="D148" s="201">
        <v>2</v>
      </c>
    </row>
    <row r="149" spans="2:4" hidden="1"/>
    <row r="150" spans="2:4" hidden="1"/>
    <row r="151" spans="2:4">
      <c r="B151" s="30" t="s">
        <v>178</v>
      </c>
      <c r="C151" s="31"/>
      <c r="D151" s="31"/>
    </row>
    <row r="153" spans="2:4">
      <c r="B153" s="34" t="s">
        <v>89</v>
      </c>
      <c r="C153" s="33" t="s">
        <v>179</v>
      </c>
    </row>
    <row r="154" spans="2:4">
      <c r="B154" s="32" t="s">
        <v>90</v>
      </c>
      <c r="C154" s="207">
        <v>0.01</v>
      </c>
    </row>
    <row r="155" spans="2:4">
      <c r="B155" s="32" t="s">
        <v>102</v>
      </c>
      <c r="C155" s="207">
        <v>8.6999999999999994E-3</v>
      </c>
    </row>
    <row r="156" spans="2:4">
      <c r="B156" s="32" t="s">
        <v>92</v>
      </c>
      <c r="C156" s="207">
        <v>1.15E-2</v>
      </c>
    </row>
    <row r="157" spans="2:4">
      <c r="B157" s="32" t="s">
        <v>93</v>
      </c>
      <c r="C157" s="207">
        <v>8.5000000000000006E-3</v>
      </c>
    </row>
    <row r="158" spans="2:4">
      <c r="B158" s="32" t="s">
        <v>94</v>
      </c>
      <c r="C158" s="207">
        <v>8.9999999999999993E-3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199</vt:i4>
      </vt:variant>
    </vt:vector>
  </HeadingPairs>
  <TitlesOfParts>
    <vt:vector size="206" baseType="lpstr">
      <vt:lpstr>User Instructions</vt:lpstr>
      <vt:lpstr>Module 1</vt:lpstr>
      <vt:lpstr>Module 2</vt:lpstr>
      <vt:lpstr>Module 3</vt:lpstr>
      <vt:lpstr>Module 4</vt:lpstr>
      <vt:lpstr>Assumptions &gt;&gt;</vt:lpstr>
      <vt:lpstr>ModelInputs</vt:lpstr>
      <vt:lpstr>'Module 1'!Abate_Pct_Base</vt:lpstr>
      <vt:lpstr>'Module 2'!Abate_Pct_Base</vt:lpstr>
      <vt:lpstr>'Module 1'!Abate_Pct_RentGap</vt:lpstr>
      <vt:lpstr>'Module 2'!Abate_Pct_RentGap</vt:lpstr>
      <vt:lpstr>'Module 4'!Abate_Pct_RentGap</vt:lpstr>
      <vt:lpstr>'Module 1'!Abatement_Base</vt:lpstr>
      <vt:lpstr>'Module 2'!Abatement_Base</vt:lpstr>
      <vt:lpstr>'Module 4'!Abatement_Provides</vt:lpstr>
      <vt:lpstr>'Module 1'!Abatement_RentGap</vt:lpstr>
      <vt:lpstr>'Module 2'!Abatement_RentGap</vt:lpstr>
      <vt:lpstr>'Module 4'!Abatement_RentGap</vt:lpstr>
      <vt:lpstr>'Module 1'!Abatement_Years</vt:lpstr>
      <vt:lpstr>'Module 2'!Abatement_Years</vt:lpstr>
      <vt:lpstr>'Module 1'!Adj_Construction</vt:lpstr>
      <vt:lpstr>'Module 2'!Adj_Construction</vt:lpstr>
      <vt:lpstr>'Module 1'!Adj_Land</vt:lpstr>
      <vt:lpstr>'Module 2'!Adj_Land</vt:lpstr>
      <vt:lpstr>'Module 3'!Adj_Land</vt:lpstr>
      <vt:lpstr>'Module 1'!Adj_Rent</vt:lpstr>
      <vt:lpstr>'Module 2'!Adj_Rent</vt:lpstr>
      <vt:lpstr>'Module 3'!Adj_Rent</vt:lpstr>
      <vt:lpstr>'Module 4'!Adj_Rent</vt:lpstr>
      <vt:lpstr>'Module 1'!Affordable_Rent_Avg</vt:lpstr>
      <vt:lpstr>'Module 2'!Affordable_Rent_Avg</vt:lpstr>
      <vt:lpstr>'Module 3'!AMI_Band_1_Pct</vt:lpstr>
      <vt:lpstr>'Module 4'!AMI_Band_1_Pct</vt:lpstr>
      <vt:lpstr>'Module 3'!AMI_Band_1_Type</vt:lpstr>
      <vt:lpstr>'Module 4'!AMI_Band_1_Type</vt:lpstr>
      <vt:lpstr>'Module 3'!Annual_New_Tax_Revenue</vt:lpstr>
      <vt:lpstr>'Module 4'!Annual_New_Tax_Revenue</vt:lpstr>
      <vt:lpstr>'Module 4'!Annual_Revenue_Waived</vt:lpstr>
      <vt:lpstr>'Module 3'!Avg_Units_per_Building</vt:lpstr>
      <vt:lpstr>'Module 4'!Avg_Units_per_Building</vt:lpstr>
      <vt:lpstr>'Module 1'!Building_Type</vt:lpstr>
      <vt:lpstr>'Module 2'!Building_Type</vt:lpstr>
      <vt:lpstr>'Module 3'!Building_Type</vt:lpstr>
      <vt:lpstr>'Module 4'!Building_Type</vt:lpstr>
      <vt:lpstr>'Module 3'!Buildings</vt:lpstr>
      <vt:lpstr>'Module 4'!Buildings</vt:lpstr>
      <vt:lpstr>'Module 1'!Cap_Rate</vt:lpstr>
      <vt:lpstr>'Module 2'!Cap_Rate</vt:lpstr>
      <vt:lpstr>'Module 3'!Cap_Rate</vt:lpstr>
      <vt:lpstr>'Module 4'!Cap_Rate</vt:lpstr>
      <vt:lpstr>'Module 1'!Construction_Costs</vt:lpstr>
      <vt:lpstr>'Module 2'!Construction_Costs</vt:lpstr>
      <vt:lpstr>'Module 3'!Construction_Costs</vt:lpstr>
      <vt:lpstr>'Module 4'!Construction_Costs</vt:lpstr>
      <vt:lpstr>'Module 1'!Construction_Timeline</vt:lpstr>
      <vt:lpstr>'Module 2'!Construction_Timeline</vt:lpstr>
      <vt:lpstr>'Module 3'!Construction_Timeline</vt:lpstr>
      <vt:lpstr>'Module 4'!Construction_Timeline</vt:lpstr>
      <vt:lpstr>'Module 3'!Difference_IRR</vt:lpstr>
      <vt:lpstr>'Module 4'!Difference_IRR</vt:lpstr>
      <vt:lpstr>'Module 3'!Difference_Yield</vt:lpstr>
      <vt:lpstr>'Module 4'!Difference_Yield</vt:lpstr>
      <vt:lpstr>'Module 3'!Equity_Amount</vt:lpstr>
      <vt:lpstr>'Module 4'!Equity_Amount</vt:lpstr>
      <vt:lpstr>'Module 1'!Exit_Cap_Rate</vt:lpstr>
      <vt:lpstr>'Module 2'!Exit_Cap_Rate</vt:lpstr>
      <vt:lpstr>'Module 3'!Exit_Cap_Rate</vt:lpstr>
      <vt:lpstr>'Module 4'!Exit_Cap_Rate</vt:lpstr>
      <vt:lpstr>'Module 1'!Expedited_Process</vt:lpstr>
      <vt:lpstr>'Module 2'!Expedited_Process</vt:lpstr>
      <vt:lpstr>'Module 4'!Expedited_Process</vt:lpstr>
      <vt:lpstr>'Module 4'!Fees</vt:lpstr>
      <vt:lpstr>'Module 3'!Financing_Sale_Costs</vt:lpstr>
      <vt:lpstr>'Module 4'!Financing_Sale_Costs</vt:lpstr>
      <vt:lpstr>'Module 1'!Forgivable_Loan</vt:lpstr>
      <vt:lpstr>'Module 2'!Forgivable_Loan</vt:lpstr>
      <vt:lpstr>'Module 1'!Forgivable_Loan_Amt</vt:lpstr>
      <vt:lpstr>'Module 2'!Forgivable_Loan_Amt</vt:lpstr>
      <vt:lpstr>'Module 4'!Forgivable_Loan_Amt</vt:lpstr>
      <vt:lpstr>'Module 1'!Gap_Financing</vt:lpstr>
      <vt:lpstr>'Module 2'!Gap_Financing</vt:lpstr>
      <vt:lpstr>'Module 4'!Gap_Loan</vt:lpstr>
      <vt:lpstr>'Module 4'!Gap_Loan_Amt</vt:lpstr>
      <vt:lpstr>'Module 1'!GF_Loan_Rate</vt:lpstr>
      <vt:lpstr>'Module 2'!GF_Loan_Rate</vt:lpstr>
      <vt:lpstr>'Module 1'!GF_Per_Unit</vt:lpstr>
      <vt:lpstr>'Module 2'!GF_Per_Unit</vt:lpstr>
      <vt:lpstr>'Module 1'!Incentive_Construction_Costs</vt:lpstr>
      <vt:lpstr>'Module 2'!Incentive_Construction_Costs</vt:lpstr>
      <vt:lpstr>'Module 3'!Incentive_Construction_Costs</vt:lpstr>
      <vt:lpstr>'Module 4'!Incentive_Construction_Costs</vt:lpstr>
      <vt:lpstr>'Module 3'!Incentive_Financing_Sale_Costs</vt:lpstr>
      <vt:lpstr>'Module 4'!Incentive_Financing_Sale_Costs</vt:lpstr>
      <vt:lpstr>'Module 3'!Incentive_IRR</vt:lpstr>
      <vt:lpstr>'Module 4'!Incentive_IRR</vt:lpstr>
      <vt:lpstr>'Module 1'!Incentive_Land_Costs</vt:lpstr>
      <vt:lpstr>'Module 2'!Incentive_Land_Costs</vt:lpstr>
      <vt:lpstr>'Module 3'!Incentive_Land_Costs</vt:lpstr>
      <vt:lpstr>'Module 4'!Incentive_Land_Costs</vt:lpstr>
      <vt:lpstr>'Module 1'!Incentive_Pre_Development_Costs</vt:lpstr>
      <vt:lpstr>'Module 2'!Incentive_Pre_Development_Costs</vt:lpstr>
      <vt:lpstr>'Module 3'!Incentive_Pre_Development_Costs</vt:lpstr>
      <vt:lpstr>'Module 4'!Incentive_Pre_Development_Costs</vt:lpstr>
      <vt:lpstr>'Module 1'!Incentive_Rental_Sales_Price</vt:lpstr>
      <vt:lpstr>'Module 2'!Incentive_Rental_Sales_Price</vt:lpstr>
      <vt:lpstr>'Module 3'!Incentive_Rental_Sales_Price</vt:lpstr>
      <vt:lpstr>'Module 4'!Incentive_Sales_Price</vt:lpstr>
      <vt:lpstr>'Module 1'!Incentive_Total_Project_Costs</vt:lpstr>
      <vt:lpstr>'Module 2'!Incentive_Total_Project_Costs</vt:lpstr>
      <vt:lpstr>'Module 3'!Incentive_Total_Project_Costs</vt:lpstr>
      <vt:lpstr>'Module 4'!Incentive_Total_Project_Costs</vt:lpstr>
      <vt:lpstr>'Module 1'!Incentive_Weighted_Avg_Rent</vt:lpstr>
      <vt:lpstr>'Module 2'!Incentive_Weighted_Avg_Rent</vt:lpstr>
      <vt:lpstr>'Module 4'!Incentive_Yield_on_Cost</vt:lpstr>
      <vt:lpstr>'Module 3'!Incentives_Loan_Payment</vt:lpstr>
      <vt:lpstr>'Module 4'!Incentives_Loan_Payment</vt:lpstr>
      <vt:lpstr>'Module 4'!Inclusionary_Zoning_Rent_Change</vt:lpstr>
      <vt:lpstr>'Module 3'!IRR</vt:lpstr>
      <vt:lpstr>'Module 4'!IRR</vt:lpstr>
      <vt:lpstr>'Module 1'!Land_Costs</vt:lpstr>
      <vt:lpstr>'Module 2'!Land_Costs</vt:lpstr>
      <vt:lpstr>'Module 3'!Land_Costs</vt:lpstr>
      <vt:lpstr>'Module 4'!Land_Costs</vt:lpstr>
      <vt:lpstr>'Module 1'!Land_Provision</vt:lpstr>
      <vt:lpstr>'Module 2'!Land_Provision</vt:lpstr>
      <vt:lpstr>'Module 4'!Land_Provision</vt:lpstr>
      <vt:lpstr>'Module 1'!Land_Provision_Pct</vt:lpstr>
      <vt:lpstr>'Module 2'!Land_Provision_Pct</vt:lpstr>
      <vt:lpstr>'Module 4'!Land_Provision_Pct</vt:lpstr>
      <vt:lpstr>'Module 3'!Loan_Payment</vt:lpstr>
      <vt:lpstr>'Module 4'!Loan_Payment</vt:lpstr>
      <vt:lpstr>'Module 1'!Market_Rent_Avg</vt:lpstr>
      <vt:lpstr>'Module 2'!Market_Rent_Avg</vt:lpstr>
      <vt:lpstr>'Module 4'!Market_Rent_Avg</vt:lpstr>
      <vt:lpstr>'Module 1'!Month_of_Sale</vt:lpstr>
      <vt:lpstr>'Module 2'!Month_of_Sale</vt:lpstr>
      <vt:lpstr>'Module 3'!Month_of_Sale</vt:lpstr>
      <vt:lpstr>'Module 4'!Month_of_Sale</vt:lpstr>
      <vt:lpstr>'Module 1'!Monthly_Rent_Gap</vt:lpstr>
      <vt:lpstr>'Module 2'!Monthly_Rent_Gap</vt:lpstr>
      <vt:lpstr>'Module 1'!NOI</vt:lpstr>
      <vt:lpstr>'Module 2'!NOI</vt:lpstr>
      <vt:lpstr>'Module 1'!NOI_Affordable</vt:lpstr>
      <vt:lpstr>'Module 2'!NOI_Affordable</vt:lpstr>
      <vt:lpstr>'Module 4'!Per_Unit_Affordable_Price</vt:lpstr>
      <vt:lpstr>'Module 4'!Per_Unit_Market_Price</vt:lpstr>
      <vt:lpstr>'Module 1'!Per_Unit_Total_Cost</vt:lpstr>
      <vt:lpstr>'Module 2'!Per_Unit_Total_Cost</vt:lpstr>
      <vt:lpstr>'Module 3'!Per_Unit_Total_Cost</vt:lpstr>
      <vt:lpstr>'Module 4'!Per_Unit_Total_Cost</vt:lpstr>
      <vt:lpstr>'Module 1'!Pre_Dev_Property_Tax</vt:lpstr>
      <vt:lpstr>'Module 2'!Pre_Dev_Property_Tax</vt:lpstr>
      <vt:lpstr>'Module 3'!Pre_Dev_Property_Tax</vt:lpstr>
      <vt:lpstr>'Module 4'!Pre_Dev_Property_Tax</vt:lpstr>
      <vt:lpstr>'Module 1'!Pre_Development_Costs</vt:lpstr>
      <vt:lpstr>'Module 2'!Pre_Development_Costs</vt:lpstr>
      <vt:lpstr>'Module 3'!Pre_Development_Costs</vt:lpstr>
      <vt:lpstr>'Module 4'!Pre_Development_Costs</vt:lpstr>
      <vt:lpstr>'Module 3'!Predev_Interest</vt:lpstr>
      <vt:lpstr>'Module 4'!Predev_Interest</vt:lpstr>
      <vt:lpstr>'Module 1'!PreDev_Timeline</vt:lpstr>
      <vt:lpstr>'Module 2'!PreDev_Timeline</vt:lpstr>
      <vt:lpstr>'Module 3'!PreDev_Timeline</vt:lpstr>
      <vt:lpstr>'Module 4'!PreDev_Timeline</vt:lpstr>
      <vt:lpstr>'Module 1'!Price_Land_Context</vt:lpstr>
      <vt:lpstr>'Module 2'!Price_Land_Context</vt:lpstr>
      <vt:lpstr>'Module 3'!Price_Land_Context</vt:lpstr>
      <vt:lpstr>'Module 4'!Price_Land_Context</vt:lpstr>
      <vt:lpstr>'Module 3'!Primary_Loan_Amount</vt:lpstr>
      <vt:lpstr>'Module 4'!Primary_Loan_Amount</vt:lpstr>
      <vt:lpstr>'Module 1'!Rate_Escalator</vt:lpstr>
      <vt:lpstr>'Module 2'!Rate_Escalator</vt:lpstr>
      <vt:lpstr>'Module 3'!Rate_Escalator</vt:lpstr>
      <vt:lpstr>'Module 4'!Rate_Escalator</vt:lpstr>
      <vt:lpstr>'Module 1'!Reduced_Review_Timeline</vt:lpstr>
      <vt:lpstr>'Module 2'!Reduced_Review_Timeline</vt:lpstr>
      <vt:lpstr>'Module 4'!Reduced_Review_Timeline</vt:lpstr>
      <vt:lpstr>'Module 1'!Rent_Escalation_Rate</vt:lpstr>
      <vt:lpstr>'Module 2'!Rent_Escalation_Rate</vt:lpstr>
      <vt:lpstr>'Module 3'!Rent_Escalation_Rate</vt:lpstr>
      <vt:lpstr>'Module 4'!Rent_Escalation_Rate</vt:lpstr>
      <vt:lpstr>'Module 1'!Rental_Sale_Price</vt:lpstr>
      <vt:lpstr>'Module 2'!Rental_Sale_Price</vt:lpstr>
      <vt:lpstr>'Module 3'!Sale_Price</vt:lpstr>
      <vt:lpstr>'Module 4'!Sale_Price</vt:lpstr>
      <vt:lpstr>'Module 3'!Total_New_Tax_Revenue</vt:lpstr>
      <vt:lpstr>'Module 4'!Total_New_Tax_Revenue</vt:lpstr>
      <vt:lpstr>'Module 1'!Total_Project_Costs</vt:lpstr>
      <vt:lpstr>'Module 2'!Total_Project_Costs</vt:lpstr>
      <vt:lpstr>'Module 3'!Total_Project_Costs</vt:lpstr>
      <vt:lpstr>'Module 4'!Total_Project_Costs</vt:lpstr>
      <vt:lpstr>'Module 4'!Total_Revenue_Waived</vt:lpstr>
      <vt:lpstr>'Module 1'!Total_Units</vt:lpstr>
      <vt:lpstr>'Module 2'!Total_Units</vt:lpstr>
      <vt:lpstr>'Module 3'!Total_Units</vt:lpstr>
      <vt:lpstr>'Module 4'!Total_Units</vt:lpstr>
      <vt:lpstr>'Module 1'!Weighted_Avg_Rent</vt:lpstr>
      <vt:lpstr>'Module 2'!Weighted_Avg_Rent</vt:lpstr>
      <vt:lpstr>'Module 1'!Weighted_Incentive_NOI</vt:lpstr>
      <vt:lpstr>'Module 2'!Weighted_Incentive_NOI</vt:lpstr>
      <vt:lpstr>'Module 1'!Weighted_NOI</vt:lpstr>
      <vt:lpstr>'Module 2'!Weighted_NOI</vt:lpstr>
      <vt:lpstr>'Module 1'!Yield_on_Cost</vt:lpstr>
      <vt:lpstr>'Module 2'!Yield_on_Cost</vt:lpstr>
      <vt:lpstr>'Module 3'!Yield_on_Cost</vt:lpstr>
      <vt:lpstr>'Module 4'!Yield_on_Cost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Makenna Jahr</dc:creator>
  <cp:lastModifiedBy>Jeremy Goldstein</cp:lastModifiedBy>
  <dcterms:created xsi:type="dcterms:W3CDTF">2015-06-05T18:17:20Z</dcterms:created>
  <dcterms:modified xsi:type="dcterms:W3CDTF">2026-05-26T16:11:12Z</dcterms:modified>
</cp:coreProperties>
</file>